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ziapacaus-my.sharepoint.com/personal/adam_crabbe_zurich_com_au/Documents/"/>
    </mc:Choice>
  </mc:AlternateContent>
  <xr:revisionPtr revIDLastSave="13" documentId="8_{5F9B8E94-6E1A-4EC6-807D-239F21026A7B}" xr6:coauthVersionLast="47" xr6:coauthVersionMax="47" xr10:uidLastSave="{804F2725-3024-4CC2-80F3-E8E4A7D89CAD}"/>
  <workbookProtection workbookAlgorithmName="SHA-512" workbookHashValue="KLe8QMgdMvC8VWXqPJ6cn7eDLxapDdrxUEWF97UfoKDpl/Ed1+rULLYkNhLjoRoQaFzb+ZGcmvN//Dp994cH3w==" workbookSaltValue="0BaWMmQS6v8wMcw7Ywtntg==" workbookSpinCount="100000" lockStructure="1"/>
  <bookViews>
    <workbookView xWindow="17490" yWindow="150" windowWidth="12690" windowHeight="19920" firstSheet="1" activeTab="1" xr2:uid="{82B8BD7B-321C-42EE-AAF9-06336BC91B4F}"/>
  </bookViews>
  <sheets>
    <sheet name="TPD Calculator" sheetId="1" state="hidden" r:id="rId1"/>
    <sheet name="TPD Calculator (Super)" sheetId="4" r:id="rId2"/>
    <sheet name="Data" sheetId="3" state="hidden" r:id="rId3"/>
    <sheet name="Data (Super)"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4" l="1"/>
  <c r="G28" i="4"/>
  <c r="B31" i="4"/>
  <c r="B30" i="4"/>
  <c r="B29" i="4"/>
  <c r="J19" i="4"/>
  <c r="J18" i="4"/>
  <c r="K19" i="4"/>
  <c r="K18" i="4"/>
  <c r="L6" i="4"/>
  <c r="J39" i="4" s="1"/>
  <c r="N7" i="4"/>
  <c r="N6" i="4"/>
  <c r="H37" i="4"/>
  <c r="L13" i="4"/>
  <c r="L8" i="4"/>
  <c r="G21" i="4"/>
  <c r="G22" i="4"/>
  <c r="H40" i="4" s="1"/>
  <c r="G12" i="4"/>
  <c r="H13" i="4" s="1"/>
  <c r="G8" i="4"/>
  <c r="B50" i="4"/>
  <c r="L14" i="4"/>
  <c r="B3" i="4"/>
  <c r="J2" i="4"/>
  <c r="I2" i="4"/>
  <c r="J3" i="4"/>
  <c r="E30" i="4" s="1"/>
  <c r="K2" i="4" s="1"/>
  <c r="H38" i="4"/>
  <c r="H31" i="4"/>
  <c r="H32" i="4" s="1"/>
  <c r="H3" i="4"/>
  <c r="B43" i="4"/>
  <c r="I7" i="4"/>
  <c r="G16" i="4"/>
  <c r="I19" i="4" s="1"/>
  <c r="B71" i="4"/>
  <c r="I2" i="5"/>
  <c r="J2" i="5" s="1"/>
  <c r="A2" i="5"/>
  <c r="B2" i="5" s="1"/>
  <c r="B63" i="4"/>
  <c r="B58" i="4"/>
  <c r="C58" i="4"/>
  <c r="B61" i="4"/>
  <c r="C60" i="4"/>
  <c r="C59" i="4"/>
  <c r="B52" i="4"/>
  <c r="B51" i="4"/>
  <c r="B33" i="4"/>
  <c r="C33" i="4"/>
  <c r="H5" i="4" s="1"/>
  <c r="C52" i="4" s="1"/>
  <c r="D57" i="4" s="1"/>
  <c r="H2" i="4"/>
  <c r="G13" i="4" l="1"/>
  <c r="H36" i="4"/>
  <c r="H4" i="4"/>
  <c r="B35" i="4" s="1"/>
  <c r="E32" i="4"/>
  <c r="K3" i="4" s="1"/>
  <c r="L4" i="4"/>
  <c r="I3" i="4"/>
  <c r="H28" i="4"/>
  <c r="I31" i="4"/>
  <c r="H34" i="4"/>
  <c r="H33" i="4"/>
  <c r="C2" i="5"/>
  <c r="D2" i="5"/>
  <c r="A3" i="5"/>
  <c r="D3" i="5" s="1"/>
  <c r="K2" i="5"/>
  <c r="L2" i="5"/>
  <c r="N2" i="5" s="1"/>
  <c r="I3" i="5"/>
  <c r="K3" i="5" s="1"/>
  <c r="B32" i="4" l="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K39" i="4"/>
  <c r="E7" i="4" s="1"/>
  <c r="C3" i="5"/>
  <c r="L3" i="5"/>
  <c r="K4" i="4"/>
  <c r="K5" i="4"/>
  <c r="L3" i="4" s="1"/>
  <c r="L2" i="4"/>
  <c r="L5" i="4"/>
  <c r="B34" i="4"/>
  <c r="C51" i="4"/>
  <c r="C57" i="4" s="1"/>
  <c r="I32" i="4"/>
  <c r="I34" i="4"/>
  <c r="I33" i="4"/>
  <c r="I4" i="5"/>
  <c r="L4" i="5" s="1"/>
  <c r="B3" i="5"/>
  <c r="F3" i="5" s="1"/>
  <c r="J3" i="5"/>
  <c r="F2" i="5"/>
  <c r="J4" i="4"/>
  <c r="C4" i="5" l="1"/>
  <c r="B4" i="5" s="1"/>
  <c r="D4" i="5"/>
  <c r="I5" i="5"/>
  <c r="I6" i="5" s="1"/>
  <c r="K4" i="5"/>
  <c r="J4" i="5" s="1"/>
  <c r="C5" i="5"/>
  <c r="D5" i="5"/>
  <c r="N3" i="5"/>
  <c r="I4" i="4"/>
  <c r="K5" i="5" l="1"/>
  <c r="J5" i="5" s="1"/>
  <c r="L5" i="5"/>
  <c r="F4" i="5"/>
  <c r="I5" i="4"/>
  <c r="B5" i="5"/>
  <c r="F5" i="5" s="1"/>
  <c r="I7" i="5"/>
  <c r="L6" i="5"/>
  <c r="K6" i="5"/>
  <c r="C6" i="5"/>
  <c r="D6" i="5"/>
  <c r="N4" i="5"/>
  <c r="B6" i="5" l="1"/>
  <c r="F6" i="5" s="1"/>
  <c r="K7" i="5"/>
  <c r="I8" i="5"/>
  <c r="L7" i="5"/>
  <c r="C7" i="5"/>
  <c r="D7" i="5"/>
  <c r="N5" i="5"/>
  <c r="J6" i="5"/>
  <c r="N6" i="5" s="1"/>
  <c r="E3" i="4"/>
  <c r="H14" i="4"/>
  <c r="D14" i="4"/>
  <c r="C14" i="4"/>
  <c r="B14" i="4"/>
  <c r="G22" i="1"/>
  <c r="E3" i="1" s="1"/>
  <c r="G26" i="1"/>
  <c r="H12" i="1"/>
  <c r="G13" i="1"/>
  <c r="H13" i="1" s="1"/>
  <c r="C12" i="1"/>
  <c r="A2" i="3"/>
  <c r="D2" i="3" s="1"/>
  <c r="I2" i="3"/>
  <c r="I3" i="3" s="1"/>
  <c r="I4" i="3" s="1"/>
  <c r="I5" i="3" s="1"/>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G10" i="1"/>
  <c r="B12" i="1"/>
  <c r="D12" i="1"/>
  <c r="E5" i="1"/>
  <c r="E7" i="1" s="1"/>
  <c r="L2" i="3"/>
  <c r="B7" i="5" l="1"/>
  <c r="F7" i="5" s="1"/>
  <c r="K8" i="5"/>
  <c r="I9" i="5"/>
  <c r="L8" i="5"/>
  <c r="D8" i="5"/>
  <c r="C8" i="5"/>
  <c r="J7" i="5"/>
  <c r="N7" i="5" s="1"/>
  <c r="G9" i="4"/>
  <c r="H16" i="4"/>
  <c r="B20" i="1"/>
  <c r="B16" i="1"/>
  <c r="G7" i="1"/>
  <c r="G8" i="1"/>
  <c r="J2" i="3"/>
  <c r="K2" i="3"/>
  <c r="B2" i="3"/>
  <c r="C2" i="3"/>
  <c r="B8" i="5" l="1"/>
  <c r="F8" i="5" s="1"/>
  <c r="K9" i="5"/>
  <c r="I10" i="5"/>
  <c r="L9" i="5"/>
  <c r="D9" i="5"/>
  <c r="C9" i="5"/>
  <c r="J8" i="5"/>
  <c r="N8" i="5" s="1"/>
  <c r="G5" i="1"/>
  <c r="E9" i="1" s="1"/>
  <c r="D3" i="3"/>
  <c r="K3" i="3"/>
  <c r="J3" i="3" s="1"/>
  <c r="L3" i="3"/>
  <c r="N2" i="3"/>
  <c r="C13" i="3"/>
  <c r="D13" i="3"/>
  <c r="F2" i="3"/>
  <c r="C3" i="3"/>
  <c r="B3" i="3" s="1"/>
  <c r="C4" i="3"/>
  <c r="B9" i="5" l="1"/>
  <c r="F9" i="5" s="1"/>
  <c r="L10" i="5"/>
  <c r="K10" i="5"/>
  <c r="I11" i="5"/>
  <c r="C10" i="5"/>
  <c r="D10" i="5"/>
  <c r="J9" i="5"/>
  <c r="G9" i="1"/>
  <c r="G6" i="1" s="1"/>
  <c r="F3" i="3"/>
  <c r="L4" i="3"/>
  <c r="K4" i="3"/>
  <c r="J4" i="3" s="1"/>
  <c r="N3" i="3"/>
  <c r="D14" i="3"/>
  <c r="C14" i="3"/>
  <c r="B4" i="3"/>
  <c r="D5" i="3"/>
  <c r="D4" i="3"/>
  <c r="C5" i="3"/>
  <c r="B10" i="5" l="1"/>
  <c r="F10" i="5" s="1"/>
  <c r="L11" i="5"/>
  <c r="K11" i="5"/>
  <c r="I12" i="5"/>
  <c r="C11" i="5"/>
  <c r="D11" i="5"/>
  <c r="N9" i="5"/>
  <c r="J10" i="5"/>
  <c r="N10" i="5" s="1"/>
  <c r="F4" i="3"/>
  <c r="N4" i="3"/>
  <c r="K5" i="3"/>
  <c r="L5" i="3"/>
  <c r="J5" i="3"/>
  <c r="C15" i="3"/>
  <c r="D15" i="3"/>
  <c r="B5" i="3"/>
  <c r="F5" i="3" s="1"/>
  <c r="C6" i="3"/>
  <c r="D6" i="3"/>
  <c r="B11" i="5" l="1"/>
  <c r="F11" i="5" s="1"/>
  <c r="L12" i="5"/>
  <c r="K12" i="5"/>
  <c r="I13" i="5"/>
  <c r="C12" i="5"/>
  <c r="D12" i="5"/>
  <c r="J11" i="5"/>
  <c r="N11" i="5" s="1"/>
  <c r="L6" i="3"/>
  <c r="K6" i="3"/>
  <c r="J6" i="3" s="1"/>
  <c r="N5" i="3"/>
  <c r="B6" i="3"/>
  <c r="F6" i="3" s="1"/>
  <c r="D16" i="3"/>
  <c r="C16" i="3"/>
  <c r="D7" i="3"/>
  <c r="C7" i="3"/>
  <c r="B12" i="5" l="1"/>
  <c r="F12" i="5" s="1"/>
  <c r="L13" i="5"/>
  <c r="K13" i="5"/>
  <c r="I14" i="5"/>
  <c r="D13" i="5"/>
  <c r="C13" i="5"/>
  <c r="J12" i="5"/>
  <c r="N6" i="3"/>
  <c r="K7" i="3"/>
  <c r="L7" i="3"/>
  <c r="J7" i="3"/>
  <c r="B7" i="3"/>
  <c r="F7" i="3" s="1"/>
  <c r="C17" i="3"/>
  <c r="D17" i="3"/>
  <c r="C8" i="3"/>
  <c r="D8" i="3"/>
  <c r="B13" i="5" l="1"/>
  <c r="F13" i="5" s="1"/>
  <c r="L14" i="5"/>
  <c r="K14" i="5"/>
  <c r="I15" i="5"/>
  <c r="D14" i="5"/>
  <c r="C14" i="5"/>
  <c r="N12" i="5"/>
  <c r="J13" i="5"/>
  <c r="B8" i="3"/>
  <c r="F8" i="3" s="1"/>
  <c r="L8" i="3"/>
  <c r="K8" i="3"/>
  <c r="J8" i="3" s="1"/>
  <c r="N7" i="3"/>
  <c r="D18" i="3"/>
  <c r="C18" i="3"/>
  <c r="B14" i="5" l="1"/>
  <c r="F14" i="5" s="1"/>
  <c r="I16" i="5"/>
  <c r="L15" i="5"/>
  <c r="K15" i="5"/>
  <c r="D15" i="5"/>
  <c r="C15" i="5"/>
  <c r="N13" i="5"/>
  <c r="J14" i="5"/>
  <c r="N14" i="5" s="1"/>
  <c r="N8" i="3"/>
  <c r="K9" i="3"/>
  <c r="L9" i="3"/>
  <c r="J9" i="3"/>
  <c r="C19" i="3"/>
  <c r="D19" i="3"/>
  <c r="B15" i="5" l="1"/>
  <c r="F15" i="5" s="1"/>
  <c r="I17" i="5"/>
  <c r="L16" i="5"/>
  <c r="K16" i="5"/>
  <c r="C16" i="5"/>
  <c r="D16" i="5"/>
  <c r="J15" i="5"/>
  <c r="N9" i="3"/>
  <c r="L10" i="3"/>
  <c r="K10" i="3"/>
  <c r="J10" i="3" s="1"/>
  <c r="D20" i="3"/>
  <c r="C20" i="3"/>
  <c r="B16" i="5" l="1"/>
  <c r="F16" i="5" s="1"/>
  <c r="I18" i="5"/>
  <c r="L17" i="5"/>
  <c r="K17" i="5"/>
  <c r="D17" i="5"/>
  <c r="C17" i="5"/>
  <c r="N15" i="5"/>
  <c r="J16" i="5"/>
  <c r="N10" i="3"/>
  <c r="K11" i="3"/>
  <c r="J11" i="3" s="1"/>
  <c r="L11" i="3"/>
  <c r="C21" i="3"/>
  <c r="D21" i="3"/>
  <c r="B17" i="5" l="1"/>
  <c r="F17" i="5" s="1"/>
  <c r="I19" i="5"/>
  <c r="L18" i="5"/>
  <c r="K18" i="5"/>
  <c r="C18" i="5"/>
  <c r="D18" i="5"/>
  <c r="N16" i="5"/>
  <c r="J17" i="5"/>
  <c r="N17" i="5" s="1"/>
  <c r="L12" i="3"/>
  <c r="K12" i="3"/>
  <c r="J12" i="3" s="1"/>
  <c r="N11" i="3"/>
  <c r="D22" i="3"/>
  <c r="C22" i="3"/>
  <c r="B18" i="5" l="1"/>
  <c r="F18" i="5" s="1"/>
  <c r="I20" i="5"/>
  <c r="K19" i="5"/>
  <c r="L19" i="5"/>
  <c r="C19" i="5"/>
  <c r="D19" i="5"/>
  <c r="J18" i="5"/>
  <c r="N18" i="5" s="1"/>
  <c r="N12" i="3"/>
  <c r="K13" i="3"/>
  <c r="J13" i="3" s="1"/>
  <c r="L13" i="3"/>
  <c r="C23" i="3"/>
  <c r="D23" i="3"/>
  <c r="B19" i="5" l="1"/>
  <c r="F19" i="5" s="1"/>
  <c r="I21" i="5"/>
  <c r="K20" i="5"/>
  <c r="L20" i="5"/>
  <c r="D20" i="5"/>
  <c r="C20" i="5"/>
  <c r="J19" i="5"/>
  <c r="N19" i="5" s="1"/>
  <c r="N13" i="3"/>
  <c r="L14" i="3"/>
  <c r="K14" i="3"/>
  <c r="J14" i="3" s="1"/>
  <c r="D24" i="3"/>
  <c r="C24" i="3"/>
  <c r="B20" i="5" l="1"/>
  <c r="F20" i="5" s="1"/>
  <c r="I22" i="5"/>
  <c r="K21" i="5"/>
  <c r="L21" i="5"/>
  <c r="C21" i="5"/>
  <c r="D21" i="5"/>
  <c r="J20" i="5"/>
  <c r="N20" i="5" s="1"/>
  <c r="N14" i="3"/>
  <c r="K15" i="3"/>
  <c r="J15" i="3" s="1"/>
  <c r="L15" i="3"/>
  <c r="C25" i="3"/>
  <c r="D25" i="3"/>
  <c r="B21" i="5" l="1"/>
  <c r="F21" i="5" s="1"/>
  <c r="I23" i="5"/>
  <c r="L22" i="5"/>
  <c r="K22" i="5"/>
  <c r="C22" i="5"/>
  <c r="D22" i="5"/>
  <c r="J21" i="5"/>
  <c r="N21" i="5" s="1"/>
  <c r="L16" i="3"/>
  <c r="K16" i="3"/>
  <c r="J16" i="3" s="1"/>
  <c r="N15" i="3"/>
  <c r="D26" i="3"/>
  <c r="C26" i="3"/>
  <c r="B22" i="5" l="1"/>
  <c r="F22" i="5" s="1"/>
  <c r="I24" i="5"/>
  <c r="L23" i="5"/>
  <c r="K23" i="5"/>
  <c r="C23" i="5"/>
  <c r="B23" i="5" s="1"/>
  <c r="D23" i="5"/>
  <c r="J22" i="5"/>
  <c r="N22" i="5" s="1"/>
  <c r="N16" i="3"/>
  <c r="K17" i="3"/>
  <c r="J17" i="3" s="1"/>
  <c r="L17" i="3"/>
  <c r="C27" i="3"/>
  <c r="D27" i="3"/>
  <c r="F23" i="5" l="1"/>
  <c r="I25" i="5"/>
  <c r="L24" i="5"/>
  <c r="K24" i="5"/>
  <c r="D24" i="5"/>
  <c r="C24" i="5"/>
  <c r="B24" i="5" s="1"/>
  <c r="J23" i="5"/>
  <c r="N23" i="5" s="1"/>
  <c r="N17" i="3"/>
  <c r="L18" i="3"/>
  <c r="K18" i="3"/>
  <c r="J18" i="3" s="1"/>
  <c r="D28" i="3"/>
  <c r="C28" i="3"/>
  <c r="F24" i="5" l="1"/>
  <c r="I26" i="5"/>
  <c r="L25" i="5"/>
  <c r="K25" i="5"/>
  <c r="C25" i="5"/>
  <c r="B25" i="5" s="1"/>
  <c r="D25" i="5"/>
  <c r="J24" i="5"/>
  <c r="N24" i="5" s="1"/>
  <c r="N18" i="3"/>
  <c r="K19" i="3"/>
  <c r="J19" i="3" s="1"/>
  <c r="L19" i="3"/>
  <c r="C29" i="3"/>
  <c r="D29" i="3"/>
  <c r="F25" i="5" l="1"/>
  <c r="I27" i="5"/>
  <c r="L26" i="5"/>
  <c r="K26" i="5"/>
  <c r="D26" i="5"/>
  <c r="C26" i="5"/>
  <c r="B26" i="5" s="1"/>
  <c r="J25" i="5"/>
  <c r="N25" i="5" s="1"/>
  <c r="L20" i="3"/>
  <c r="K20" i="3"/>
  <c r="J20" i="3" s="1"/>
  <c r="N19" i="3"/>
  <c r="D30" i="3"/>
  <c r="C30" i="3"/>
  <c r="F26" i="5" l="1"/>
  <c r="I28" i="5"/>
  <c r="L27" i="5"/>
  <c r="K27" i="5"/>
  <c r="D27" i="5"/>
  <c r="C27" i="5"/>
  <c r="B27" i="5" s="1"/>
  <c r="J26" i="5"/>
  <c r="N26" i="5" s="1"/>
  <c r="N20" i="3"/>
  <c r="K21" i="3"/>
  <c r="J21" i="3" s="1"/>
  <c r="L21" i="3"/>
  <c r="C31" i="3"/>
  <c r="D31" i="3"/>
  <c r="F27" i="5" l="1"/>
  <c r="I29" i="5"/>
  <c r="L28" i="5"/>
  <c r="K28" i="5"/>
  <c r="D28" i="5"/>
  <c r="C28" i="5"/>
  <c r="B28" i="5" s="1"/>
  <c r="J27" i="5"/>
  <c r="N27" i="5" s="1"/>
  <c r="N21" i="3"/>
  <c r="L22" i="3"/>
  <c r="K22" i="3"/>
  <c r="J22" i="3" s="1"/>
  <c r="D32" i="3"/>
  <c r="C32" i="3"/>
  <c r="F28" i="5" l="1"/>
  <c r="I30" i="5"/>
  <c r="L29" i="5"/>
  <c r="K29" i="5"/>
  <c r="C29" i="5"/>
  <c r="B29" i="5" s="1"/>
  <c r="D29" i="5"/>
  <c r="J28" i="5"/>
  <c r="N28" i="5" s="1"/>
  <c r="N22" i="3"/>
  <c r="K23" i="3"/>
  <c r="J23" i="3" s="1"/>
  <c r="L23" i="3"/>
  <c r="C33" i="3"/>
  <c r="D33" i="3"/>
  <c r="F29" i="5" l="1"/>
  <c r="I31" i="5"/>
  <c r="L30" i="5"/>
  <c r="K30" i="5"/>
  <c r="C30" i="5"/>
  <c r="B30" i="5" s="1"/>
  <c r="D30" i="5"/>
  <c r="J29" i="5"/>
  <c r="N29" i="5" s="1"/>
  <c r="N23" i="3"/>
  <c r="L24" i="3"/>
  <c r="K24" i="3"/>
  <c r="J24" i="3" s="1"/>
  <c r="D34" i="3"/>
  <c r="C34" i="3"/>
  <c r="D9" i="3"/>
  <c r="C9" i="3"/>
  <c r="B9" i="3" s="1"/>
  <c r="F30" i="5" l="1"/>
  <c r="I32" i="5"/>
  <c r="K31" i="5"/>
  <c r="L31" i="5"/>
  <c r="D31" i="5"/>
  <c r="C31" i="5"/>
  <c r="B31" i="5" s="1"/>
  <c r="J30" i="5"/>
  <c r="N30" i="5" s="1"/>
  <c r="N24" i="3"/>
  <c r="K25" i="3"/>
  <c r="L25" i="3"/>
  <c r="J25" i="3"/>
  <c r="C35" i="3"/>
  <c r="D35" i="3"/>
  <c r="D10" i="3"/>
  <c r="C10" i="3"/>
  <c r="B10" i="3" s="1"/>
  <c r="F9" i="3"/>
  <c r="F31" i="5" l="1"/>
  <c r="I33" i="5"/>
  <c r="K32" i="5"/>
  <c r="L32" i="5"/>
  <c r="D32" i="5"/>
  <c r="C32" i="5"/>
  <c r="J31" i="5"/>
  <c r="N31" i="5" s="1"/>
  <c r="B32" i="5"/>
  <c r="N25" i="3"/>
  <c r="L26" i="3"/>
  <c r="K26" i="3"/>
  <c r="J26" i="3" s="1"/>
  <c r="F10" i="3"/>
  <c r="D36" i="3"/>
  <c r="C36" i="3"/>
  <c r="D11" i="3"/>
  <c r="C11" i="3"/>
  <c r="B11" i="3" s="1"/>
  <c r="F32" i="5" l="1"/>
  <c r="I34" i="5"/>
  <c r="K33" i="5"/>
  <c r="L33" i="5"/>
  <c r="D33" i="5"/>
  <c r="C33" i="5"/>
  <c r="B33" i="5" s="1"/>
  <c r="J32" i="5"/>
  <c r="N32" i="5" s="1"/>
  <c r="N26" i="3"/>
  <c r="K27" i="3"/>
  <c r="L27" i="3"/>
  <c r="J27" i="3"/>
  <c r="C37" i="3"/>
  <c r="D37" i="3"/>
  <c r="D12" i="3"/>
  <c r="C12" i="3"/>
  <c r="B12" i="3" s="1"/>
  <c r="B13" i="3" s="1"/>
  <c r="F11" i="3"/>
  <c r="F33" i="5" l="1"/>
  <c r="I35" i="5"/>
  <c r="L34" i="5"/>
  <c r="K34" i="5"/>
  <c r="C34" i="5"/>
  <c r="B34" i="5" s="1"/>
  <c r="D34" i="5"/>
  <c r="J33" i="5"/>
  <c r="N33" i="5" s="1"/>
  <c r="N27" i="3"/>
  <c r="L28" i="3"/>
  <c r="K28" i="3"/>
  <c r="J28" i="3" s="1"/>
  <c r="D38" i="3"/>
  <c r="C38" i="3"/>
  <c r="F13" i="3"/>
  <c r="B14" i="3"/>
  <c r="F12" i="3"/>
  <c r="F34" i="5" l="1"/>
  <c r="I36" i="5"/>
  <c r="L35" i="5"/>
  <c r="K35" i="5"/>
  <c r="C35" i="5"/>
  <c r="D35" i="5"/>
  <c r="B35" i="5"/>
  <c r="J34" i="5"/>
  <c r="N34" i="5" s="1"/>
  <c r="N28" i="3"/>
  <c r="K29" i="3"/>
  <c r="J29" i="3" s="1"/>
  <c r="L29" i="3"/>
  <c r="F14" i="3"/>
  <c r="B15" i="3"/>
  <c r="C39" i="3"/>
  <c r="D39" i="3"/>
  <c r="F35" i="5" l="1"/>
  <c r="I37" i="5"/>
  <c r="L36" i="5"/>
  <c r="K36" i="5"/>
  <c r="D36" i="5"/>
  <c r="C36" i="5"/>
  <c r="J35" i="5"/>
  <c r="N35" i="5" s="1"/>
  <c r="B36" i="5"/>
  <c r="F36" i="5" s="1"/>
  <c r="N29" i="3"/>
  <c r="L30" i="3"/>
  <c r="K30" i="3"/>
  <c r="J30" i="3" s="1"/>
  <c r="D40" i="3"/>
  <c r="C40" i="3"/>
  <c r="F15" i="3"/>
  <c r="B16" i="3"/>
  <c r="I38" i="5" l="1"/>
  <c r="L37" i="5"/>
  <c r="K37" i="5"/>
  <c r="D37" i="5"/>
  <c r="C37" i="5"/>
  <c r="J36" i="5"/>
  <c r="N36" i="5" s="1"/>
  <c r="B37" i="5"/>
  <c r="F37" i="5" s="1"/>
  <c r="N30" i="3"/>
  <c r="K31" i="3"/>
  <c r="L31" i="3"/>
  <c r="J31" i="3"/>
  <c r="F16" i="3"/>
  <c r="B17" i="3"/>
  <c r="C41" i="3"/>
  <c r="D41" i="3"/>
  <c r="I39" i="5" l="1"/>
  <c r="L38" i="5"/>
  <c r="K38" i="5"/>
  <c r="D38" i="5"/>
  <c r="C38" i="5"/>
  <c r="B38" i="5"/>
  <c r="F38" i="5" s="1"/>
  <c r="J37" i="5"/>
  <c r="N37" i="5" s="1"/>
  <c r="N31" i="3"/>
  <c r="L32" i="3"/>
  <c r="K32" i="3"/>
  <c r="J32" i="3" s="1"/>
  <c r="D42" i="3"/>
  <c r="C42" i="3"/>
  <c r="F17" i="3"/>
  <c r="B18" i="3"/>
  <c r="I40" i="5" l="1"/>
  <c r="L39" i="5"/>
  <c r="K39" i="5"/>
  <c r="D39" i="5"/>
  <c r="C39" i="5"/>
  <c r="J38" i="5"/>
  <c r="N38" i="5" s="1"/>
  <c r="B39" i="5"/>
  <c r="F39" i="5" s="1"/>
  <c r="N32" i="3"/>
  <c r="K33" i="3"/>
  <c r="L33" i="3"/>
  <c r="J33" i="3"/>
  <c r="F18" i="3"/>
  <c r="B19" i="3"/>
  <c r="C43" i="3"/>
  <c r="D43" i="3"/>
  <c r="I41" i="5" l="1"/>
  <c r="L40" i="5"/>
  <c r="K40" i="5"/>
  <c r="C40" i="5"/>
  <c r="D40" i="5"/>
  <c r="J39" i="5"/>
  <c r="N39" i="5" s="1"/>
  <c r="B40" i="5"/>
  <c r="F40" i="5" s="1"/>
  <c r="N33" i="3"/>
  <c r="L34" i="3"/>
  <c r="K34" i="3"/>
  <c r="J34" i="3" s="1"/>
  <c r="F19" i="3"/>
  <c r="B20" i="3"/>
  <c r="D44" i="3"/>
  <c r="C44" i="3"/>
  <c r="I42" i="5" l="1"/>
  <c r="L41" i="5"/>
  <c r="K41" i="5"/>
  <c r="C41" i="5"/>
  <c r="D41" i="5"/>
  <c r="B41" i="5"/>
  <c r="F41" i="5" s="1"/>
  <c r="J40" i="5"/>
  <c r="N40" i="5" s="1"/>
  <c r="N34" i="3"/>
  <c r="K35" i="3"/>
  <c r="L35" i="3"/>
  <c r="J35" i="3"/>
  <c r="F20" i="3"/>
  <c r="B21" i="3"/>
  <c r="C45" i="3"/>
  <c r="D45" i="3"/>
  <c r="I43" i="5" l="1"/>
  <c r="L42" i="5"/>
  <c r="K42" i="5"/>
  <c r="D42" i="5"/>
  <c r="C42" i="5"/>
  <c r="B42" i="5"/>
  <c r="F42" i="5" s="1"/>
  <c r="J41" i="5"/>
  <c r="N41" i="5" s="1"/>
  <c r="N35" i="3"/>
  <c r="L36" i="3"/>
  <c r="K36" i="3"/>
  <c r="J36" i="3" s="1"/>
  <c r="F21" i="3"/>
  <c r="B22" i="3"/>
  <c r="D46" i="3"/>
  <c r="C46" i="3"/>
  <c r="I44" i="5" l="1"/>
  <c r="K43" i="5"/>
  <c r="L43" i="5"/>
  <c r="C43" i="5"/>
  <c r="D43" i="5"/>
  <c r="J42" i="5"/>
  <c r="N42" i="5" s="1"/>
  <c r="B43" i="5"/>
  <c r="F43" i="5" s="1"/>
  <c r="N36" i="3"/>
  <c r="K37" i="3"/>
  <c r="L37" i="3"/>
  <c r="J37" i="3"/>
  <c r="F22" i="3"/>
  <c r="B23" i="3"/>
  <c r="D47" i="3"/>
  <c r="C47" i="3"/>
  <c r="I45" i="5" l="1"/>
  <c r="K44" i="5"/>
  <c r="L44" i="5"/>
  <c r="D44" i="5"/>
  <c r="C44" i="5"/>
  <c r="B44" i="5"/>
  <c r="F44" i="5" s="1"/>
  <c r="J43" i="5"/>
  <c r="N43" i="5" s="1"/>
  <c r="N37" i="3"/>
  <c r="L38" i="3"/>
  <c r="K38" i="3"/>
  <c r="J38" i="3" s="1"/>
  <c r="F23" i="3"/>
  <c r="B24" i="3"/>
  <c r="C48" i="3"/>
  <c r="D48" i="3"/>
  <c r="I46" i="5" l="1"/>
  <c r="K45" i="5"/>
  <c r="L45" i="5"/>
  <c r="D45" i="5"/>
  <c r="C45" i="5"/>
  <c r="B45" i="5"/>
  <c r="F45" i="5" s="1"/>
  <c r="J44" i="5"/>
  <c r="N44" i="5" s="1"/>
  <c r="N38" i="3"/>
  <c r="K39" i="3"/>
  <c r="J39" i="3" s="1"/>
  <c r="L39" i="3"/>
  <c r="F24" i="3"/>
  <c r="B25" i="3"/>
  <c r="D49" i="3"/>
  <c r="C49" i="3"/>
  <c r="I47" i="5" l="1"/>
  <c r="L46" i="5"/>
  <c r="K46" i="5"/>
  <c r="C46" i="5"/>
  <c r="D46" i="5"/>
  <c r="J45" i="5"/>
  <c r="N45" i="5" s="1"/>
  <c r="B46" i="5"/>
  <c r="F46" i="5" s="1"/>
  <c r="N39" i="3"/>
  <c r="L40" i="3"/>
  <c r="K40" i="3"/>
  <c r="J40" i="3" s="1"/>
  <c r="F25" i="3"/>
  <c r="B26" i="3"/>
  <c r="C50" i="3"/>
  <c r="D50" i="3"/>
  <c r="I48" i="5" l="1"/>
  <c r="L47" i="5"/>
  <c r="K47" i="5"/>
  <c r="C47" i="5"/>
  <c r="D47" i="5"/>
  <c r="B47" i="5"/>
  <c r="F47" i="5" s="1"/>
  <c r="J46" i="5"/>
  <c r="N46" i="5" s="1"/>
  <c r="N40" i="3"/>
  <c r="K41" i="3"/>
  <c r="L41" i="3"/>
  <c r="J41" i="3"/>
  <c r="F26" i="3"/>
  <c r="B27" i="3"/>
  <c r="D51" i="3"/>
  <c r="C51" i="3"/>
  <c r="I49" i="5" l="1"/>
  <c r="L48" i="5"/>
  <c r="K48" i="5"/>
  <c r="C48" i="5"/>
  <c r="D48" i="5"/>
  <c r="B48" i="5"/>
  <c r="F48" i="5" s="1"/>
  <c r="J47" i="5"/>
  <c r="N47" i="5" s="1"/>
  <c r="N41" i="3"/>
  <c r="L42" i="3"/>
  <c r="K42" i="3"/>
  <c r="J42" i="3" s="1"/>
  <c r="F27" i="3"/>
  <c r="B28" i="3"/>
  <c r="C52" i="3"/>
  <c r="D52" i="3"/>
  <c r="I50" i="5" l="1"/>
  <c r="L49" i="5"/>
  <c r="K49" i="5"/>
  <c r="D49" i="5"/>
  <c r="C49" i="5"/>
  <c r="J48" i="5"/>
  <c r="N48" i="5" s="1"/>
  <c r="B49" i="5"/>
  <c r="F49" i="5" s="1"/>
  <c r="N42" i="3"/>
  <c r="K43" i="3"/>
  <c r="L43" i="3"/>
  <c r="J43" i="3"/>
  <c r="F28" i="3"/>
  <c r="B29" i="3"/>
  <c r="D53" i="3"/>
  <c r="C53" i="3"/>
  <c r="E2" i="3"/>
  <c r="E3" i="3" s="1"/>
  <c r="E4" i="3" s="1"/>
  <c r="E5" i="3" s="1"/>
  <c r="E6" i="3" s="1"/>
  <c r="E7" i="3" s="1"/>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I51" i="5" l="1"/>
  <c r="L50" i="5"/>
  <c r="K50" i="5"/>
  <c r="D50" i="5"/>
  <c r="C50" i="5"/>
  <c r="B50" i="5"/>
  <c r="F50" i="5" s="1"/>
  <c r="J49" i="5"/>
  <c r="N49" i="5" s="1"/>
  <c r="N43" i="3"/>
  <c r="L44" i="3"/>
  <c r="K44" i="3"/>
  <c r="J44" i="3" s="1"/>
  <c r="F29" i="3"/>
  <c r="B30" i="3"/>
  <c r="I52" i="5" l="1"/>
  <c r="L51" i="5"/>
  <c r="K51" i="5"/>
  <c r="D51" i="5"/>
  <c r="C51" i="5"/>
  <c r="J50" i="5"/>
  <c r="N50" i="5" s="1"/>
  <c r="B51" i="5"/>
  <c r="F51" i="5" s="1"/>
  <c r="N44" i="3"/>
  <c r="K45" i="3"/>
  <c r="J45" i="3" s="1"/>
  <c r="L45" i="3"/>
  <c r="F30" i="3"/>
  <c r="B31" i="3"/>
  <c r="I53" i="5" l="1"/>
  <c r="L52" i="5"/>
  <c r="K52" i="5"/>
  <c r="C52" i="5"/>
  <c r="D52" i="5"/>
  <c r="B52" i="5"/>
  <c r="F52" i="5" s="1"/>
  <c r="J51" i="5"/>
  <c r="N51" i="5" s="1"/>
  <c r="N45" i="3"/>
  <c r="L46" i="3"/>
  <c r="K46" i="3"/>
  <c r="J46" i="3" s="1"/>
  <c r="F31" i="3"/>
  <c r="B32" i="3"/>
  <c r="L53" i="5" l="1"/>
  <c r="K53" i="5"/>
  <c r="C53" i="5"/>
  <c r="D53" i="5"/>
  <c r="J52" i="5"/>
  <c r="N52" i="5" s="1"/>
  <c r="B53" i="5"/>
  <c r="G2" i="5" s="1"/>
  <c r="E2" i="5"/>
  <c r="E3" i="5" s="1"/>
  <c r="E4" i="5" s="1"/>
  <c r="E5" i="5" s="1"/>
  <c r="E6" i="5" s="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N46" i="3"/>
  <c r="K47" i="3"/>
  <c r="J47" i="3" s="1"/>
  <c r="L47" i="3"/>
  <c r="F32" i="3"/>
  <c r="B33" i="3"/>
  <c r="B9" i="4" l="1"/>
  <c r="I25" i="4"/>
  <c r="E25" i="4" s="1"/>
  <c r="L10" i="4" s="1"/>
  <c r="J53" i="5"/>
  <c r="O2" i="5" s="1"/>
  <c r="B13" i="4" s="1"/>
  <c r="M2" i="5"/>
  <c r="F53" i="5"/>
  <c r="N47" i="3"/>
  <c r="L48" i="3"/>
  <c r="K48" i="3"/>
  <c r="J48" i="3" s="1"/>
  <c r="F33" i="3"/>
  <c r="B34" i="3"/>
  <c r="I26" i="4" l="1"/>
  <c r="F47" i="4" s="1"/>
  <c r="E47" i="4"/>
  <c r="G23" i="4"/>
  <c r="L7" i="4"/>
  <c r="M3" i="5"/>
  <c r="M4" i="5" s="1"/>
  <c r="M5" i="5" s="1"/>
  <c r="M6" i="5" s="1"/>
  <c r="M7" i="5" s="1"/>
  <c r="M8" i="5" s="1"/>
  <c r="M9" i="5" s="1"/>
  <c r="M10" i="5" s="1"/>
  <c r="M11" i="5" s="1"/>
  <c r="M12" i="5" s="1"/>
  <c r="M13" i="5" s="1"/>
  <c r="M14" i="5" s="1"/>
  <c r="M15" i="5" s="1"/>
  <c r="M16" i="5" s="1"/>
  <c r="M17" i="5" s="1"/>
  <c r="M18" i="5" s="1"/>
  <c r="M19" i="5" s="1"/>
  <c r="M20" i="5" s="1"/>
  <c r="M21" i="5" s="1"/>
  <c r="M22" i="5" s="1"/>
  <c r="M23" i="5" s="1"/>
  <c r="M24" i="5" s="1"/>
  <c r="M25" i="5" s="1"/>
  <c r="M26" i="5" s="1"/>
  <c r="M27" i="5" s="1"/>
  <c r="M28" i="5" s="1"/>
  <c r="M29" i="5" s="1"/>
  <c r="M30" i="5" s="1"/>
  <c r="M31" i="5" s="1"/>
  <c r="M32" i="5" s="1"/>
  <c r="M33" i="5" s="1"/>
  <c r="M34" i="5" s="1"/>
  <c r="M35" i="5" s="1"/>
  <c r="M36" i="5" s="1"/>
  <c r="M37" i="5" s="1"/>
  <c r="M38" i="5" s="1"/>
  <c r="M39" i="5" s="1"/>
  <c r="M40" i="5" s="1"/>
  <c r="M41" i="5" s="1"/>
  <c r="M42" i="5" s="1"/>
  <c r="M43" i="5" s="1"/>
  <c r="M44" i="5" s="1"/>
  <c r="M45" i="5" s="1"/>
  <c r="M46" i="5" s="1"/>
  <c r="M47" i="5" s="1"/>
  <c r="M48" i="5" s="1"/>
  <c r="M49" i="5" s="1"/>
  <c r="M50" i="5" s="1"/>
  <c r="M51" i="5" s="1"/>
  <c r="M52" i="5" s="1"/>
  <c r="M53" i="5" s="1"/>
  <c r="N53" i="5"/>
  <c r="N48" i="3"/>
  <c r="K49" i="3"/>
  <c r="L49" i="3"/>
  <c r="J49" i="3"/>
  <c r="F34" i="3"/>
  <c r="B35" i="3"/>
  <c r="L9" i="4" l="1"/>
  <c r="J42" i="4" s="1"/>
  <c r="K42" i="4" s="1"/>
  <c r="G47" i="4"/>
  <c r="J41" i="4"/>
  <c r="J40" i="4"/>
  <c r="C21" i="4"/>
  <c r="H39" i="4" s="1"/>
  <c r="C23" i="4"/>
  <c r="N49" i="3"/>
  <c r="L50" i="3"/>
  <c r="K50" i="3"/>
  <c r="J50" i="3" s="1"/>
  <c r="F35" i="3"/>
  <c r="B36" i="3"/>
  <c r="J43" i="4" l="1"/>
  <c r="K41" i="4"/>
  <c r="E11" i="4" s="1"/>
  <c r="E13" i="4"/>
  <c r="G49" i="4"/>
  <c r="G18" i="4"/>
  <c r="J25" i="4"/>
  <c r="G54" i="4"/>
  <c r="H26" i="4"/>
  <c r="G19" i="4"/>
  <c r="H19" i="4"/>
  <c r="H22" i="4"/>
  <c r="H21" i="4"/>
  <c r="K40" i="4"/>
  <c r="I22" i="4"/>
  <c r="C47" i="4"/>
  <c r="C22" i="4"/>
  <c r="G50" i="4" s="1"/>
  <c r="N50" i="3"/>
  <c r="K51" i="3"/>
  <c r="J51" i="3" s="1"/>
  <c r="L51" i="3"/>
  <c r="F36" i="3"/>
  <c r="B37" i="3"/>
  <c r="G11" i="4" l="1"/>
  <c r="B22" i="4"/>
  <c r="I18" i="4"/>
  <c r="E9" i="4"/>
  <c r="B21" i="4" s="1"/>
  <c r="K26" i="4"/>
  <c r="I20" i="4"/>
  <c r="G59" i="4" s="1"/>
  <c r="J26" i="4"/>
  <c r="B26" i="4" s="1"/>
  <c r="G55" i="4"/>
  <c r="G51" i="4" s="1"/>
  <c r="G53" i="4" s="1"/>
  <c r="H18" i="4"/>
  <c r="I21" i="4"/>
  <c r="G17" i="4"/>
  <c r="G52" i="4" s="1"/>
  <c r="N51" i="3"/>
  <c r="L52" i="3"/>
  <c r="K52" i="3"/>
  <c r="J52" i="3" s="1"/>
  <c r="F37" i="3"/>
  <c r="B38" i="3"/>
  <c r="B23" i="4" l="1"/>
  <c r="B25" i="4"/>
  <c r="G10" i="4"/>
  <c r="K43" i="4"/>
  <c r="G25" i="4" s="1"/>
  <c r="G56" i="4"/>
  <c r="C28" i="4"/>
  <c r="B59" i="4" s="1"/>
  <c r="G40" i="4"/>
  <c r="C40" i="4" s="1"/>
  <c r="C41" i="4" s="1"/>
  <c r="G20" i="4"/>
  <c r="N52" i="3"/>
  <c r="K53" i="3"/>
  <c r="L53" i="3"/>
  <c r="J53" i="3"/>
  <c r="O2" i="3" s="1"/>
  <c r="M2" i="3"/>
  <c r="G11" i="1" s="1"/>
  <c r="F38" i="3"/>
  <c r="B39" i="3"/>
  <c r="B55" i="4" l="1"/>
  <c r="B60" i="4"/>
  <c r="C56" i="4"/>
  <c r="C61" i="4"/>
  <c r="H20" i="4"/>
  <c r="B64" i="4"/>
  <c r="B11" i="1"/>
  <c r="M3" i="3"/>
  <c r="M4" i="3" s="1"/>
  <c r="M5" i="3" s="1"/>
  <c r="M6" i="3" s="1"/>
  <c r="M7" i="3" s="1"/>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 r="M31" i="3" s="1"/>
  <c r="M32" i="3" s="1"/>
  <c r="M33" i="3" s="1"/>
  <c r="M34" i="3" s="1"/>
  <c r="M35" i="3" s="1"/>
  <c r="M36" i="3" s="1"/>
  <c r="M37" i="3" s="1"/>
  <c r="M38" i="3" s="1"/>
  <c r="M39" i="3" s="1"/>
  <c r="M40" i="3" s="1"/>
  <c r="M41" i="3" s="1"/>
  <c r="M42" i="3" s="1"/>
  <c r="M43" i="3" s="1"/>
  <c r="M44" i="3" s="1"/>
  <c r="M45" i="3" s="1"/>
  <c r="M46" i="3" s="1"/>
  <c r="M47" i="3" s="1"/>
  <c r="M48" i="3" s="1"/>
  <c r="M49" i="3" s="1"/>
  <c r="M50" i="3" s="1"/>
  <c r="M51" i="3" s="1"/>
  <c r="M52" i="3" s="1"/>
  <c r="M53" i="3" s="1"/>
  <c r="N53" i="3"/>
  <c r="F39" i="3"/>
  <c r="B40" i="3"/>
  <c r="C27" i="4" l="1"/>
  <c r="G48" i="4"/>
  <c r="E26" i="4"/>
  <c r="L11" i="4" s="1"/>
  <c r="C43" i="4"/>
  <c r="E45" i="4" s="1"/>
  <c r="C65" i="4"/>
  <c r="C69" i="4" s="1"/>
  <c r="E11" i="1"/>
  <c r="B22" i="1" s="1"/>
  <c r="G21" i="1"/>
  <c r="F40" i="3"/>
  <c r="B41" i="3"/>
  <c r="L16" i="4" l="1"/>
  <c r="L12" i="4"/>
  <c r="L15" i="4"/>
  <c r="B68" i="4"/>
  <c r="C17" i="1"/>
  <c r="G27" i="1" s="1"/>
  <c r="F23" i="1"/>
  <c r="B17" i="1"/>
  <c r="B21" i="1"/>
  <c r="F41" i="3"/>
  <c r="B42" i="3"/>
  <c r="G28" i="1" l="1"/>
  <c r="F42" i="3"/>
  <c r="B43" i="3"/>
  <c r="F43" i="3" l="1"/>
  <c r="B44" i="3"/>
  <c r="F44" i="3" l="1"/>
  <c r="B45" i="3"/>
  <c r="F45" i="3" l="1"/>
  <c r="B46" i="3"/>
  <c r="F46" i="3" l="1"/>
  <c r="B47" i="3"/>
  <c r="F47" i="3" l="1"/>
  <c r="B48" i="3"/>
  <c r="B49" i="3" s="1"/>
  <c r="F49" i="3" l="1"/>
  <c r="B50" i="3"/>
  <c r="F48" i="3"/>
  <c r="F50" i="3" l="1"/>
  <c r="B51" i="3"/>
  <c r="F51" i="3" l="1"/>
  <c r="B52" i="3"/>
  <c r="F52" i="3" l="1"/>
  <c r="B53" i="3"/>
  <c r="F53" i="3" s="1"/>
  <c r="G2" i="3" l="1"/>
  <c r="G18" i="1" s="1"/>
  <c r="B18" i="1"/>
  <c r="B7" i="1" l="1"/>
  <c r="G20" i="1"/>
  <c r="D20" i="1" s="1"/>
  <c r="H16" i="1" s="1"/>
  <c r="C18" i="1"/>
  <c r="G24" i="1" l="1"/>
  <c r="H25" i="1" s="1"/>
  <c r="C16" i="1"/>
  <c r="E23" i="1"/>
  <c r="C23" i="1" s="1"/>
  <c r="G23" i="1"/>
  <c r="G14" i="1" l="1"/>
  <c r="G25" i="1"/>
  <c r="H15" i="1"/>
  <c r="G17" i="1"/>
  <c r="G15" i="1"/>
  <c r="G16" i="1" s="1"/>
  <c r="B24" i="1" l="1"/>
  <c r="B23" i="1" l="1"/>
  <c r="C22" i="1"/>
  <c r="D21" i="1"/>
  <c r="J44" i="4"/>
  <c r="K44" i="4" s="1"/>
  <c r="J49" i="4"/>
  <c r="J45" i="4"/>
  <c r="J48" i="4"/>
  <c r="J47" i="4"/>
  <c r="J51" i="4"/>
  <c r="J50" i="4"/>
  <c r="K48" i="4" l="1"/>
  <c r="K47" i="4"/>
  <c r="K45" i="4"/>
  <c r="G26" i="4"/>
  <c r="B27" i="4" s="1"/>
  <c r="K50" i="4"/>
  <c r="K51" i="4"/>
  <c r="K49" i="4"/>
  <c r="G37" i="4"/>
  <c r="G38" i="4"/>
  <c r="G27" i="4" l="1"/>
  <c r="G43" i="4" s="1"/>
  <c r="G45" i="4" s="1"/>
  <c r="G44" i="4" s="1"/>
  <c r="B48" i="4" l="1"/>
  <c r="B47" i="4" s="1"/>
  <c r="B45" i="4"/>
</calcChain>
</file>

<file path=xl/sharedStrings.xml><?xml version="1.0" encoding="utf-8"?>
<sst xmlns="http://schemas.openxmlformats.org/spreadsheetml/2006/main" count="101" uniqueCount="56">
  <si>
    <r>
      <t xml:space="preserve">TPD </t>
    </r>
    <r>
      <rPr>
        <sz val="18"/>
        <color rgb="FF2167AE"/>
        <rFont val="Ogg"/>
        <family val="1"/>
      </rPr>
      <t xml:space="preserve">Calculator </t>
    </r>
  </si>
  <si>
    <t>Current age</t>
  </si>
  <si>
    <r>
      <t xml:space="preserve">Lump sum for </t>
    </r>
    <r>
      <rPr>
        <b/>
        <sz val="11"/>
        <color rgb="FF2167AE"/>
        <rFont val="Zurich Sans"/>
      </rPr>
      <t>traditional</t>
    </r>
    <r>
      <rPr>
        <sz val="11"/>
        <color rgb="FF2167AE"/>
        <rFont val="Zurich Sans"/>
      </rPr>
      <t xml:space="preserve"> TPD events (e.g. residential debt)</t>
    </r>
  </si>
  <si>
    <r>
      <t xml:space="preserve">Annual income for </t>
    </r>
    <r>
      <rPr>
        <b/>
        <sz val="11"/>
        <color rgb="FF2167AE"/>
        <rFont val="Zurich Sans"/>
      </rPr>
      <t>traditional</t>
    </r>
    <r>
      <rPr>
        <sz val="11"/>
        <color rgb="FF2167AE"/>
        <rFont val="Zurich Sans"/>
      </rPr>
      <t xml:space="preserve"> TPD events (e.g. general expenses)</t>
    </r>
  </si>
  <si>
    <t>to age</t>
  </si>
  <si>
    <r>
      <t xml:space="preserve">Lump sum for </t>
    </r>
    <r>
      <rPr>
        <b/>
        <sz val="11"/>
        <color rgb="FF2167AE"/>
        <rFont val="Zurich Sans"/>
      </rPr>
      <t>rare</t>
    </r>
    <r>
      <rPr>
        <sz val="11"/>
        <color rgb="FF2167AE"/>
        <rFont val="Zurich Sans"/>
      </rPr>
      <t xml:space="preserve"> TPD events (e.g. home modifications)</t>
    </r>
  </si>
  <si>
    <r>
      <t xml:space="preserve">Other income for </t>
    </r>
    <r>
      <rPr>
        <b/>
        <sz val="11"/>
        <color rgb="FF2167AE"/>
        <rFont val="Zurich Sans"/>
      </rPr>
      <t>rare</t>
    </r>
    <r>
      <rPr>
        <sz val="11"/>
        <color rgb="FF2167AE"/>
        <rFont val="Zurich Sans"/>
      </rPr>
      <t xml:space="preserve"> TPD events (e.g. carer income)</t>
    </r>
  </si>
  <si>
    <t>Inflation</t>
  </si>
  <si>
    <t>Investment return (nil RCV)</t>
  </si>
  <si>
    <t>Age</t>
  </si>
  <si>
    <t>Income</t>
  </si>
  <si>
    <t>Return</t>
  </si>
  <si>
    <t>Year count</t>
  </si>
  <si>
    <t>Income (after inv.)</t>
  </si>
  <si>
    <t>Investment required</t>
  </si>
  <si>
    <t>Yes</t>
  </si>
  <si>
    <t>No</t>
  </si>
  <si>
    <t>Taxable component</t>
  </si>
  <si>
    <t>Birth to ESP</t>
  </si>
  <si>
    <t>Total tax-free component (including TPD lump sum)</t>
  </si>
  <si>
    <t>Additional super lump sum (taxable component)</t>
  </si>
  <si>
    <t>Additional super lump sum (tax-free component)</t>
  </si>
  <si>
    <t>TPD cover via super?</t>
  </si>
  <si>
    <t>ESP to Ceased work</t>
  </si>
  <si>
    <t>Ceased work to age 65</t>
  </si>
  <si>
    <t>Total TPD sum insured + Additional super lump sums =</t>
  </si>
  <si>
    <t>Total benefit</t>
  </si>
  <si>
    <t>Tax on Taxable component</t>
  </si>
  <si>
    <t>Tax on Taxable component =</t>
  </si>
  <si>
    <t>Net TPD benefit</t>
  </si>
  <si>
    <t xml:space="preserve">Total benefit = </t>
  </si>
  <si>
    <t>Eligible service date to age 65</t>
  </si>
  <si>
    <t>Total benefit - tax on Taxable component =</t>
  </si>
  <si>
    <t>Net TPD benefit =</t>
  </si>
  <si>
    <t>Calculator assumptions:</t>
  </si>
  <si>
    <t>TPD sums insured:</t>
  </si>
  <si>
    <t>Superannuation balance (if applicable):</t>
  </si>
  <si>
    <t>a</t>
  </si>
  <si>
    <t>b</t>
  </si>
  <si>
    <t>c</t>
  </si>
  <si>
    <t>d</t>
  </si>
  <si>
    <t>e</t>
  </si>
  <si>
    <t>f</t>
  </si>
  <si>
    <t>g</t>
  </si>
  <si>
    <t>h</t>
  </si>
  <si>
    <t>i</t>
  </si>
  <si>
    <t>Today</t>
  </si>
  <si>
    <t>Date below</t>
  </si>
  <si>
    <t>TPD Cover needs:</t>
  </si>
  <si>
    <t>j</t>
  </si>
  <si>
    <t>k</t>
  </si>
  <si>
    <t>Tax rate applicable to super taxable component</t>
  </si>
  <si>
    <r>
      <t xml:space="preserve">Lump sum for </t>
    </r>
    <r>
      <rPr>
        <b/>
        <sz val="11"/>
        <color rgb="FF2167AE"/>
        <rFont val="Zurich Sans"/>
      </rPr>
      <t>working</t>
    </r>
    <r>
      <rPr>
        <sz val="11"/>
        <color rgb="FF2167AE"/>
        <rFont val="Zurich Sans"/>
      </rPr>
      <t xml:space="preserve"> TPD events (e.g. residential debt)</t>
    </r>
  </si>
  <si>
    <t xml:space="preserve">This tool is for financial advisers only, and does not take into account any personal objectives, financial situation or needs. It is an interactive tool developed to assist financial advisers calculate specific sums insured (and potential taxation impacts) based on different TPD events and financial outcomes. You should consider these factors, the appropriateness of the information and the Zurich Wealth Protection Product Disclosure Statement and policy terms available on www.zurich.com.au before making any decisions or recommendations. Furthermore, these products have been designed to meet certain objectives, financial situations and needs, which are described in our Target Market Determination available at zurich.com.au/tmd. Zurich Australia Limited (ABN 92 000 010 195, AFSLN 232510) is the issuer of Zurich Wealth Protection.
The information is as at October 2024 and may be subject to change. It is derived from sources believed to be accurate as at this date. It should not be considered to be a comprehensive statement on any matter and should not be relied on as such. Any examples are purely for illustration, based on limited and selective information, and are not exhaustive. The information is a summary only. Neither Zurich Australia Limited nor any of its related entities, employees or directors gives any warranty of reliability or accuracy nor accept any responsibility arising in any way including by reason of negligence for errors and omissions. </t>
  </si>
  <si>
    <r>
      <t xml:space="preserve">Annual income for </t>
    </r>
    <r>
      <rPr>
        <b/>
        <sz val="11"/>
        <color rgb="FF2167AE"/>
        <rFont val="Zurich Sans"/>
      </rPr>
      <t>working</t>
    </r>
    <r>
      <rPr>
        <sz val="11"/>
        <color rgb="FF2167AE"/>
        <rFont val="Zurich Sans"/>
      </rPr>
      <t xml:space="preserve"> TPD events (e.g. general expenses, per year)</t>
    </r>
  </si>
  <si>
    <r>
      <t xml:space="preserve">Annual income for </t>
    </r>
    <r>
      <rPr>
        <b/>
        <sz val="11"/>
        <color rgb="FF2167AE"/>
        <rFont val="Zurich Sans"/>
      </rPr>
      <t>rare</t>
    </r>
    <r>
      <rPr>
        <sz val="11"/>
        <color rgb="FF2167AE"/>
        <rFont val="Zurich Sans"/>
      </rPr>
      <t xml:space="preserve"> TPD events (e.g. carer income,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</si>
</sst>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164" formatCode="&quot;$&quot;#,##0.00"/>
    <numFmt numFmtId="165" formatCode="0.0%"/>
    <numFmt numFmtId="166" formatCode="&quot;$&quot;#,##0"/>
    <numFmt numFmtId="167" formatCode="_-&quot;$&quot;* #,##0_-;\-&quot;$&quot;* #,##0_-;_-&quot;$&quot;* &quot;-&quot;??_-;_-@_-"/>
    <numFmt numFmtId="168" formatCode="d/mm/yyyy;@"/>
    <numFmt numFmtId="169" formatCode="0.0000"/>
    <numFmt numFmtId="170" formatCode="0.0000000"/>
  </numFmts>
  <fonts count="31" x14ac:knownFonts="1">
    <font>
      <sz val="11"/>
      <color theme="1"/>
      <name val="Aptos Narrow"/>
      <family val="2"/>
      <scheme val="minor"/>
    </font>
    <font>
      <sz val="11"/>
      <color theme="1"/>
      <name val="Aptos Narrow"/>
      <family val="2"/>
      <scheme val="minor"/>
    </font>
    <font>
      <sz val="11"/>
      <color theme="0"/>
      <name val="Aptos Narrow"/>
      <family val="2"/>
      <scheme val="minor"/>
    </font>
    <font>
      <sz val="11"/>
      <color rgb="FF2167AE"/>
      <name val="Zurich Sans"/>
    </font>
    <font>
      <b/>
      <sz val="11"/>
      <color rgb="FF2167AE"/>
      <name val="Zurich Sans"/>
    </font>
    <font>
      <b/>
      <sz val="11"/>
      <color theme="0"/>
      <name val="Zurich Sans"/>
    </font>
    <font>
      <sz val="18"/>
      <color rgb="FF2167AE"/>
      <name val="Zurich Sans"/>
    </font>
    <font>
      <sz val="18"/>
      <color rgb="FF2167AE"/>
      <name val="Ogg"/>
      <family val="1"/>
    </font>
    <font>
      <sz val="8"/>
      <color theme="0"/>
      <name val="Zurich Sans"/>
    </font>
    <font>
      <sz val="9"/>
      <color rgb="FF2167AE"/>
      <name val="Zurich Sans"/>
    </font>
    <font>
      <sz val="9.5"/>
      <color rgb="FF2167AE"/>
      <name val="Zurich Sans"/>
    </font>
    <font>
      <sz val="11"/>
      <color theme="0"/>
      <name val="Zurich Sans"/>
    </font>
    <font>
      <i/>
      <sz val="9"/>
      <color rgb="FF2167AE"/>
      <name val="Zurich Sans"/>
    </font>
    <font>
      <b/>
      <sz val="8"/>
      <color theme="0"/>
      <name val="Zurich Sans"/>
    </font>
    <font>
      <sz val="11"/>
      <color rgb="FFFF0000"/>
      <name val="Aptos Narrow"/>
      <family val="2"/>
      <scheme val="minor"/>
    </font>
    <font>
      <sz val="10"/>
      <color theme="1"/>
      <name val="Aptos Narrow"/>
      <family val="2"/>
      <scheme val="minor"/>
    </font>
    <font>
      <sz val="10"/>
      <name val="Zurich Sans"/>
    </font>
    <font>
      <sz val="10"/>
      <color rgb="FFFF0000"/>
      <name val="Aptos Narrow"/>
      <family val="2"/>
      <scheme val="minor"/>
    </font>
    <font>
      <sz val="10"/>
      <color theme="0"/>
      <name val="Aptos Narrow"/>
      <family val="2"/>
      <scheme val="minor"/>
    </font>
    <font>
      <sz val="10"/>
      <color rgb="FFFF0000"/>
      <name val="Zurich Sans"/>
    </font>
    <font>
      <sz val="10"/>
      <color theme="1"/>
      <name val="Zurich Sans"/>
    </font>
    <font>
      <sz val="11"/>
      <color theme="1"/>
      <name val="Zurich Sans"/>
    </font>
    <font>
      <b/>
      <sz val="10"/>
      <name val="Zurich Sans"/>
    </font>
    <font>
      <b/>
      <sz val="10"/>
      <color theme="1"/>
      <name val="Zurich Sans"/>
    </font>
    <font>
      <sz val="12"/>
      <color rgb="FF2167AE"/>
      <name val="Ogg"/>
      <family val="1"/>
    </font>
    <font>
      <sz val="11"/>
      <color rgb="FFFF0000"/>
      <name val="Zurich Sans"/>
    </font>
    <font>
      <i/>
      <sz val="9"/>
      <color theme="0"/>
      <name val="Zurich Sans"/>
    </font>
    <font>
      <sz val="10"/>
      <color theme="0"/>
      <name val="Zurich Sans"/>
    </font>
    <font>
      <b/>
      <sz val="11"/>
      <color rgb="FFFF0000"/>
      <name val="Aptos Narrow"/>
      <family val="2"/>
      <scheme val="minor"/>
    </font>
    <font>
      <b/>
      <sz val="9"/>
      <color rgb="FF2167AE"/>
      <name val="Zurich Sans"/>
    </font>
    <font>
      <sz val="10.5"/>
      <color rgb="FF2167AE"/>
      <name val="Zurich Sans"/>
    </font>
  </fonts>
  <fills count="6">
    <fill>
      <patternFill patternType="none"/>
    </fill>
    <fill>
      <patternFill patternType="gray125"/>
    </fill>
    <fill>
      <patternFill patternType="solid">
        <fgColor rgb="FFDDE4E3"/>
        <bgColor indexed="64"/>
      </patternFill>
    </fill>
    <fill>
      <patternFill patternType="solid">
        <fgColor rgb="FF2167AE"/>
        <bgColor indexed="64"/>
      </patternFill>
    </fill>
    <fill>
      <patternFill patternType="solid">
        <fgColor theme="0"/>
        <bgColor indexed="64"/>
      </patternFill>
    </fill>
    <fill>
      <patternFill patternType="solid">
        <fgColor rgb="FFDAD2BD"/>
        <bgColor indexed="64"/>
      </patternFill>
    </fill>
  </fills>
  <borders count="35">
    <border>
      <left/>
      <right/>
      <top/>
      <bottom/>
      <diagonal/>
    </border>
    <border>
      <left style="thin">
        <color rgb="FF2167AE"/>
      </left>
      <right style="thin">
        <color rgb="FF2167AE"/>
      </right>
      <top style="thin">
        <color rgb="FF2167AE"/>
      </top>
      <bottom style="thin">
        <color rgb="FF2167AE"/>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diagonal/>
    </border>
    <border>
      <left style="thin">
        <color rgb="FF2167AE"/>
      </left>
      <right style="thin">
        <color theme="0"/>
      </right>
      <top style="thin">
        <color rgb="FF2167AE"/>
      </top>
      <bottom style="thin">
        <color rgb="FF2167AE"/>
      </bottom>
      <diagonal/>
    </border>
    <border>
      <left style="thin">
        <color theme="0"/>
      </left>
      <right style="thin">
        <color rgb="FF2167AE"/>
      </right>
      <top style="thin">
        <color rgb="FF2167AE"/>
      </top>
      <bottom style="thin">
        <color rgb="FF2167AE"/>
      </bottom>
      <diagonal/>
    </border>
    <border>
      <left style="thin">
        <color rgb="FF2167AE"/>
      </left>
      <right/>
      <top style="thin">
        <color rgb="FF2167AE"/>
      </top>
      <bottom style="thin">
        <color rgb="FF2167AE"/>
      </bottom>
      <diagonal/>
    </border>
    <border>
      <left/>
      <right style="thin">
        <color rgb="FF2167AE"/>
      </right>
      <top style="thin">
        <color rgb="FF2167AE"/>
      </top>
      <bottom style="thin">
        <color rgb="FF2167AE"/>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style="thin">
        <color rgb="FF2167AE"/>
      </top>
      <bottom style="thin">
        <color theme="0"/>
      </bottom>
      <diagonal/>
    </border>
    <border>
      <left/>
      <right style="thin">
        <color theme="0"/>
      </right>
      <top style="thin">
        <color rgb="FF2167AE"/>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top/>
      <bottom style="thin">
        <color rgb="FF2167AE"/>
      </bottom>
      <diagonal/>
    </border>
    <border>
      <left style="thin">
        <color rgb="FF2167AE"/>
      </left>
      <right/>
      <top/>
      <bottom style="thin">
        <color rgb="FF2167AE"/>
      </bottom>
      <diagonal/>
    </border>
    <border>
      <left/>
      <right style="thin">
        <color rgb="FF2167AE"/>
      </right>
      <top/>
      <bottom style="thin">
        <color rgb="FF2167AE"/>
      </bottom>
      <diagonal/>
    </border>
    <border>
      <left style="thin">
        <color rgb="FFDAD2BD"/>
      </left>
      <right/>
      <top/>
      <bottom style="thin">
        <color rgb="FF2167AE"/>
      </bottom>
      <diagonal/>
    </border>
    <border>
      <left style="thin">
        <color rgb="FFDDE4E3"/>
      </left>
      <right/>
      <top/>
      <bottom/>
      <diagonal/>
    </border>
    <border>
      <left style="thin">
        <color rgb="FF2167AE"/>
      </left>
      <right style="thin">
        <color theme="0"/>
      </right>
      <top style="thin">
        <color theme="0"/>
      </top>
      <bottom style="thin">
        <color theme="0"/>
      </bottom>
      <diagonal/>
    </border>
    <border>
      <left/>
      <right/>
      <top style="thin">
        <color theme="0"/>
      </top>
      <bottom/>
      <diagonal/>
    </border>
    <border>
      <left/>
      <right/>
      <top style="thin">
        <color rgb="FF2167AE"/>
      </top>
      <bottom style="thin">
        <color rgb="FF2167AE"/>
      </bottom>
      <diagonal/>
    </border>
    <border>
      <left style="thin">
        <color rgb="FF2167AE"/>
      </left>
      <right/>
      <top style="thin">
        <color rgb="FF2167AE"/>
      </top>
      <bottom/>
      <diagonal/>
    </border>
    <border>
      <left/>
      <right style="thin">
        <color rgb="FF2167AE"/>
      </right>
      <top style="thin">
        <color rgb="FF2167AE"/>
      </top>
      <bottom/>
      <diagonal/>
    </border>
    <border>
      <left style="thin">
        <color theme="0"/>
      </left>
      <right style="thin">
        <color theme="0"/>
      </right>
      <top style="thin">
        <color theme="0"/>
      </top>
      <bottom style="thin">
        <color rgb="FF2167AE"/>
      </bottom>
      <diagonal/>
    </border>
    <border>
      <left/>
      <right style="thin">
        <color theme="0"/>
      </right>
      <top style="thin">
        <color theme="0"/>
      </top>
      <bottom/>
      <diagonal/>
    </border>
    <border>
      <left/>
      <right style="thin">
        <color rgb="FFDDE4E3"/>
      </right>
      <top/>
      <bottom/>
      <diagonal/>
    </border>
    <border>
      <left/>
      <right/>
      <top style="thin">
        <color rgb="FF2167AE"/>
      </top>
      <bottom style="thin">
        <color theme="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9">
    <xf numFmtId="0" fontId="0" fillId="0" borderId="0" xfId="0"/>
    <xf numFmtId="164" fontId="0" fillId="0" borderId="0" xfId="1" applyNumberFormat="1" applyFont="1"/>
    <xf numFmtId="164" fontId="0" fillId="0" borderId="0" xfId="0" applyNumberFormat="1"/>
    <xf numFmtId="165" fontId="0" fillId="0" borderId="0" xfId="2" applyNumberFormat="1" applyFont="1"/>
    <xf numFmtId="166" fontId="0" fillId="0" borderId="0" xfId="0" applyNumberFormat="1"/>
    <xf numFmtId="1" fontId="0" fillId="0" borderId="0" xfId="2" applyNumberFormat="1" applyFont="1"/>
    <xf numFmtId="0" fontId="2" fillId="0" borderId="0" xfId="0" applyFont="1"/>
    <xf numFmtId="0" fontId="0" fillId="0" borderId="2" xfId="0" applyBorder="1"/>
    <xf numFmtId="0" fontId="3" fillId="0" borderId="2" xfId="0" applyFont="1" applyBorder="1"/>
    <xf numFmtId="0" fontId="2" fillId="0" borderId="2" xfId="0" applyFont="1" applyBorder="1"/>
    <xf numFmtId="0" fontId="3" fillId="0" borderId="3" xfId="0" applyFont="1" applyBorder="1"/>
    <xf numFmtId="0" fontId="0" fillId="0" borderId="4" xfId="0" applyBorder="1"/>
    <xf numFmtId="0" fontId="0" fillId="0" borderId="5" xfId="0" applyBorder="1"/>
    <xf numFmtId="0" fontId="0" fillId="0" borderId="3" xfId="0" applyBorder="1"/>
    <xf numFmtId="0" fontId="5" fillId="3" borderId="1" xfId="0" applyFont="1" applyFill="1" applyBorder="1"/>
    <xf numFmtId="0" fontId="6" fillId="0" borderId="2" xfId="0" applyFont="1" applyBorder="1"/>
    <xf numFmtId="0" fontId="2" fillId="0" borderId="4" xfId="0" applyFont="1" applyBorder="1"/>
    <xf numFmtId="0" fontId="3" fillId="0" borderId="8" xfId="0" applyFont="1" applyBorder="1"/>
    <xf numFmtId="0" fontId="4" fillId="4" borderId="0" xfId="0" applyFont="1" applyFill="1"/>
    <xf numFmtId="166" fontId="4" fillId="4" borderId="0" xfId="2" applyNumberFormat="1" applyFont="1" applyFill="1" applyBorder="1" applyAlignment="1">
      <alignment horizontal="right"/>
    </xf>
    <xf numFmtId="0" fontId="3" fillId="4" borderId="2" xfId="0" applyFont="1" applyFill="1" applyBorder="1"/>
    <xf numFmtId="0" fontId="3" fillId="4" borderId="1" xfId="0" applyFont="1" applyFill="1" applyBorder="1" applyProtection="1">
      <protection locked="0"/>
    </xf>
    <xf numFmtId="1" fontId="3" fillId="5" borderId="1" xfId="1" applyNumberFormat="1" applyFont="1" applyFill="1" applyBorder="1" applyAlignment="1" applyProtection="1">
      <alignment horizontal="right"/>
      <protection locked="0"/>
    </xf>
    <xf numFmtId="1" fontId="3" fillId="2" borderId="1" xfId="1" applyNumberFormat="1" applyFont="1" applyFill="1" applyBorder="1" applyAlignment="1" applyProtection="1">
      <alignment horizontal="right"/>
      <protection locked="0"/>
    </xf>
    <xf numFmtId="165" fontId="3" fillId="4" borderId="1" xfId="2" applyNumberFormat="1" applyFont="1" applyFill="1" applyBorder="1" applyProtection="1">
      <protection locked="0"/>
    </xf>
    <xf numFmtId="0" fontId="3" fillId="0" borderId="6" xfId="0" applyFont="1" applyBorder="1"/>
    <xf numFmtId="166" fontId="2" fillId="0" borderId="2" xfId="0" applyNumberFormat="1" applyFont="1" applyBorder="1"/>
    <xf numFmtId="166" fontId="2" fillId="0" borderId="4" xfId="0" applyNumberFormat="1" applyFont="1" applyBorder="1"/>
    <xf numFmtId="164" fontId="11" fillId="0" borderId="7" xfId="1" applyNumberFormat="1" applyFont="1" applyBorder="1" applyAlignment="1">
      <alignment horizontal="right"/>
    </xf>
    <xf numFmtId="0" fontId="3" fillId="0" borderId="13" xfId="0" applyFont="1" applyBorder="1" applyAlignment="1">
      <alignment horizontal="right"/>
    </xf>
    <xf numFmtId="0" fontId="10" fillId="0" borderId="4" xfId="0" applyFont="1" applyBorder="1"/>
    <xf numFmtId="0" fontId="10" fillId="0" borderId="4" xfId="0" applyFont="1" applyBorder="1" applyAlignment="1">
      <alignment vertical="top"/>
    </xf>
    <xf numFmtId="164" fontId="11" fillId="0" borderId="6" xfId="1" applyNumberFormat="1" applyFont="1" applyBorder="1" applyAlignment="1">
      <alignment horizontal="right"/>
    </xf>
    <xf numFmtId="0" fontId="9" fillId="0" borderId="2" xfId="0" applyFont="1" applyBorder="1" applyAlignment="1">
      <alignment vertical="top"/>
    </xf>
    <xf numFmtId="0" fontId="9" fillId="0" borderId="26" xfId="0" applyFont="1" applyBorder="1"/>
    <xf numFmtId="164" fontId="5" fillId="0" borderId="6" xfId="0" applyNumberFormat="1" applyFont="1" applyBorder="1" applyAlignment="1">
      <alignment horizontal="right"/>
    </xf>
    <xf numFmtId="166" fontId="11" fillId="0" borderId="4" xfId="0" applyNumberFormat="1" applyFont="1" applyBorder="1" applyAlignment="1">
      <alignment horizontal="left"/>
    </xf>
    <xf numFmtId="0" fontId="2" fillId="0" borderId="6" xfId="0" applyFont="1" applyBorder="1"/>
    <xf numFmtId="164" fontId="13" fillId="0" borderId="6" xfId="0" applyNumberFormat="1" applyFont="1" applyBorder="1" applyAlignment="1">
      <alignment horizontal="right"/>
    </xf>
    <xf numFmtId="6" fontId="2" fillId="0" borderId="0" xfId="0" applyNumberFormat="1" applyFont="1"/>
    <xf numFmtId="167" fontId="2" fillId="0" borderId="0" xfId="1" applyNumberFormat="1" applyFont="1"/>
    <xf numFmtId="166" fontId="2" fillId="0" borderId="0" xfId="0" applyNumberFormat="1" applyFont="1"/>
    <xf numFmtId="0" fontId="3" fillId="0" borderId="4" xfId="0" applyFont="1" applyBorder="1" applyAlignment="1">
      <alignment horizontal="left" vertical="center"/>
    </xf>
    <xf numFmtId="0" fontId="3" fillId="4" borderId="1" xfId="0" applyFont="1" applyFill="1" applyBorder="1" applyAlignment="1" applyProtection="1">
      <alignment horizontal="center"/>
      <protection locked="0"/>
    </xf>
    <xf numFmtId="1" fontId="3" fillId="2" borderId="1" xfId="1" applyNumberFormat="1" applyFont="1" applyFill="1" applyBorder="1" applyAlignment="1" applyProtection="1">
      <alignment horizontal="center"/>
      <protection locked="0"/>
    </xf>
    <xf numFmtId="1" fontId="3" fillId="5" borderId="1" xfId="1" applyNumberFormat="1" applyFont="1" applyFill="1" applyBorder="1" applyAlignment="1" applyProtection="1">
      <alignment horizontal="center"/>
      <protection locked="0"/>
    </xf>
    <xf numFmtId="166" fontId="11" fillId="4" borderId="0" xfId="2" applyNumberFormat="1" applyFont="1" applyFill="1" applyBorder="1" applyAlignment="1" applyProtection="1"/>
    <xf numFmtId="166" fontId="12" fillId="0" borderId="20" xfId="0" applyNumberFormat="1" applyFont="1" applyBorder="1" applyAlignment="1">
      <alignment horizontal="right" vertical="top"/>
    </xf>
    <xf numFmtId="0" fontId="12" fillId="0" borderId="20" xfId="0" applyFont="1" applyBorder="1" applyAlignment="1">
      <alignment horizontal="right" vertical="top"/>
    </xf>
    <xf numFmtId="0" fontId="3" fillId="4" borderId="0" xfId="0" applyFont="1" applyFill="1"/>
    <xf numFmtId="166" fontId="3" fillId="4" borderId="0" xfId="2" applyNumberFormat="1" applyFont="1" applyFill="1" applyBorder="1" applyAlignment="1" applyProtection="1"/>
    <xf numFmtId="166" fontId="3" fillId="4" borderId="0" xfId="2" applyNumberFormat="1" applyFont="1" applyFill="1" applyBorder="1" applyAlignment="1" applyProtection="1">
      <alignment horizontal="center"/>
    </xf>
    <xf numFmtId="166" fontId="2" fillId="0" borderId="13" xfId="0" applyNumberFormat="1" applyFont="1" applyBorder="1"/>
    <xf numFmtId="0" fontId="14" fillId="0" borderId="2" xfId="0" applyFont="1" applyBorder="1"/>
    <xf numFmtId="166" fontId="3" fillId="4" borderId="20" xfId="2" applyNumberFormat="1" applyFont="1" applyFill="1" applyBorder="1" applyAlignment="1" applyProtection="1"/>
    <xf numFmtId="166" fontId="3" fillId="4" borderId="19" xfId="2" applyNumberFormat="1" applyFont="1" applyFill="1" applyBorder="1" applyAlignment="1" applyProtection="1"/>
    <xf numFmtId="166" fontId="3" fillId="4" borderId="18" xfId="2" applyNumberFormat="1" applyFont="1" applyFill="1" applyBorder="1" applyAlignment="1" applyProtection="1">
      <alignment horizontal="center"/>
    </xf>
    <xf numFmtId="166" fontId="3" fillId="4" borderId="14" xfId="2" applyNumberFormat="1" applyFont="1" applyFill="1" applyBorder="1" applyAlignment="1" applyProtection="1"/>
    <xf numFmtId="166" fontId="3" fillId="4" borderId="15" xfId="2" applyNumberFormat="1" applyFont="1" applyFill="1" applyBorder="1" applyAlignment="1" applyProtection="1">
      <alignment horizontal="center"/>
    </xf>
    <xf numFmtId="164" fontId="5" fillId="0" borderId="6" xfId="0" applyNumberFormat="1" applyFont="1" applyBorder="1" applyAlignment="1">
      <alignment horizontal="center"/>
    </xf>
    <xf numFmtId="0" fontId="2" fillId="0" borderId="3" xfId="0" applyFont="1" applyBorder="1"/>
    <xf numFmtId="0" fontId="15" fillId="0" borderId="2" xfId="0" applyFont="1" applyBorder="1"/>
    <xf numFmtId="0" fontId="18" fillId="0" borderId="3" xfId="0" applyFont="1" applyBorder="1"/>
    <xf numFmtId="0" fontId="17" fillId="0" borderId="2" xfId="0" applyFont="1" applyBorder="1"/>
    <xf numFmtId="0" fontId="18" fillId="0" borderId="2" xfId="0" applyFont="1" applyBorder="1"/>
    <xf numFmtId="0" fontId="16" fillId="0" borderId="3" xfId="0" applyFont="1" applyBorder="1" applyAlignment="1">
      <alignment horizontal="right" vertical="top" wrapText="1"/>
    </xf>
    <xf numFmtId="0" fontId="16" fillId="0" borderId="3" xfId="0" applyFont="1" applyBorder="1" applyAlignment="1">
      <alignment horizontal="left" vertical="top" wrapText="1"/>
    </xf>
    <xf numFmtId="0" fontId="16" fillId="0" borderId="3" xfId="0" applyFont="1" applyBorder="1" applyAlignment="1">
      <alignment horizontal="center" wrapText="1"/>
    </xf>
    <xf numFmtId="0" fontId="19" fillId="0" borderId="2" xfId="0" applyFont="1" applyBorder="1" applyAlignment="1">
      <alignment horizontal="center"/>
    </xf>
    <xf numFmtId="0" fontId="20" fillId="0" borderId="2" xfId="0" applyFont="1" applyBorder="1"/>
    <xf numFmtId="0" fontId="27" fillId="0" borderId="2" xfId="0" applyFont="1" applyBorder="1"/>
    <xf numFmtId="0" fontId="20" fillId="0" borderId="2" xfId="0" applyFont="1" applyBorder="1" applyAlignment="1">
      <alignment horizontal="center"/>
    </xf>
    <xf numFmtId="0" fontId="20" fillId="0" borderId="2" xfId="0" applyFont="1" applyBorder="1" applyAlignment="1">
      <alignment horizontal="right"/>
    </xf>
    <xf numFmtId="0" fontId="21" fillId="0" borderId="2" xfId="0" applyFont="1" applyBorder="1"/>
    <xf numFmtId="0" fontId="21" fillId="0" borderId="2" xfId="0" applyFont="1" applyBorder="1" applyAlignment="1">
      <alignment horizontal="center"/>
    </xf>
    <xf numFmtId="0" fontId="20" fillId="0" borderId="4" xfId="0" applyFont="1" applyBorder="1"/>
    <xf numFmtId="0" fontId="0" fillId="0" borderId="2" xfId="0" applyBorder="1" applyAlignment="1">
      <alignment horizontal="center"/>
    </xf>
    <xf numFmtId="0" fontId="3" fillId="4" borderId="3" xfId="0" applyFont="1" applyFill="1" applyBorder="1"/>
    <xf numFmtId="0" fontId="2" fillId="0" borderId="13" xfId="0" applyFont="1" applyBorder="1"/>
    <xf numFmtId="0" fontId="3" fillId="0" borderId="2" xfId="0" applyFont="1" applyBorder="1" applyAlignment="1">
      <alignment horizontal="left" vertical="center"/>
    </xf>
    <xf numFmtId="0" fontId="0" fillId="0" borderId="6" xfId="0" applyBorder="1" applyAlignment="1">
      <alignment horizontal="center"/>
    </xf>
    <xf numFmtId="166" fontId="26" fillId="0" borderId="20" xfId="0" applyNumberFormat="1" applyFont="1" applyBorder="1" applyAlignment="1">
      <alignment horizontal="right" vertical="top"/>
    </xf>
    <xf numFmtId="0" fontId="24" fillId="0" borderId="3" xfId="0" applyFont="1" applyBorder="1"/>
    <xf numFmtId="0" fontId="25" fillId="0" borderId="4" xfId="0" applyFont="1" applyBorder="1" applyAlignment="1">
      <alignment horizontal="left" vertical="center"/>
    </xf>
    <xf numFmtId="0" fontId="12" fillId="0" borderId="3" xfId="0" applyFont="1" applyBorder="1" applyAlignment="1">
      <alignment horizontal="right" vertical="top"/>
    </xf>
    <xf numFmtId="14" fontId="14" fillId="0" borderId="2" xfId="0" applyNumberFormat="1" applyFont="1" applyBorder="1"/>
    <xf numFmtId="168" fontId="14" fillId="0" borderId="2" xfId="0" applyNumberFormat="1" applyFont="1" applyBorder="1"/>
    <xf numFmtId="0" fontId="3" fillId="0" borderId="14" xfId="0" applyFont="1" applyBorder="1"/>
    <xf numFmtId="0" fontId="3" fillId="0" borderId="5" xfId="0" applyFont="1" applyBorder="1"/>
    <xf numFmtId="0" fontId="3" fillId="0" borderId="0" xfId="0" applyFont="1"/>
    <xf numFmtId="0" fontId="3" fillId="0" borderId="2" xfId="0" applyFont="1" applyBorder="1" applyAlignment="1">
      <alignment horizontal="center"/>
    </xf>
    <xf numFmtId="166" fontId="2" fillId="0" borderId="3" xfId="0" applyNumberFormat="1" applyFont="1" applyBorder="1"/>
    <xf numFmtId="167" fontId="14" fillId="0" borderId="2" xfId="1" applyNumberFormat="1" applyFont="1" applyBorder="1" applyProtection="1"/>
    <xf numFmtId="0" fontId="3" fillId="0" borderId="4" xfId="0" applyFont="1" applyBorder="1" applyAlignment="1">
      <alignment horizontal="center"/>
    </xf>
    <xf numFmtId="166" fontId="14" fillId="0" borderId="2" xfId="0" applyNumberFormat="1" applyFont="1" applyBorder="1"/>
    <xf numFmtId="166" fontId="14" fillId="0" borderId="13" xfId="0" applyNumberFormat="1" applyFont="1" applyBorder="1"/>
    <xf numFmtId="0" fontId="4" fillId="0" borderId="3" xfId="0" applyFont="1" applyBorder="1"/>
    <xf numFmtId="166" fontId="14" fillId="0" borderId="2" xfId="1" applyNumberFormat="1" applyFont="1" applyBorder="1" applyProtection="1"/>
    <xf numFmtId="166" fontId="4" fillId="4" borderId="0" xfId="2" applyNumberFormat="1" applyFont="1" applyFill="1" applyBorder="1" applyAlignment="1" applyProtection="1">
      <alignment horizontal="right"/>
    </xf>
    <xf numFmtId="166" fontId="4" fillId="4" borderId="0" xfId="2" applyNumberFormat="1" applyFont="1" applyFill="1" applyBorder="1" applyAlignment="1" applyProtection="1">
      <alignment horizontal="center"/>
    </xf>
    <xf numFmtId="166" fontId="28" fillId="0" borderId="13" xfId="0" applyNumberFormat="1" applyFont="1" applyBorder="1"/>
    <xf numFmtId="166" fontId="11" fillId="0" borderId="13" xfId="0" applyNumberFormat="1" applyFont="1" applyBorder="1" applyAlignment="1">
      <alignment horizontal="left"/>
    </xf>
    <xf numFmtId="164" fontId="11" fillId="0" borderId="6" xfId="1" applyNumberFormat="1" applyFont="1" applyBorder="1" applyAlignment="1" applyProtection="1">
      <alignment horizontal="right"/>
    </xf>
    <xf numFmtId="164" fontId="11" fillId="0" borderId="7" xfId="1" applyNumberFormat="1" applyFont="1" applyBorder="1" applyAlignment="1" applyProtection="1">
      <alignment horizontal="right"/>
    </xf>
    <xf numFmtId="0" fontId="2" fillId="0" borderId="6" xfId="0" applyFont="1" applyBorder="1" applyAlignment="1">
      <alignment horizontal="center"/>
    </xf>
    <xf numFmtId="164" fontId="11" fillId="0" borderId="31" xfId="1" applyNumberFormat="1" applyFont="1" applyBorder="1" applyAlignment="1" applyProtection="1">
      <alignment horizontal="right"/>
    </xf>
    <xf numFmtId="166" fontId="4" fillId="0" borderId="13" xfId="0" applyNumberFormat="1" applyFont="1" applyBorder="1" applyAlignment="1">
      <alignment horizontal="left"/>
    </xf>
    <xf numFmtId="6" fontId="14" fillId="0" borderId="2" xfId="0" applyNumberFormat="1" applyFont="1" applyBorder="1"/>
    <xf numFmtId="0" fontId="10" fillId="0" borderId="4" xfId="0" applyFont="1" applyBorder="1" applyAlignment="1">
      <alignment horizontal="center"/>
    </xf>
    <xf numFmtId="0" fontId="0" fillId="0" borderId="4" xfId="0" applyBorder="1" applyAlignment="1">
      <alignment horizontal="center"/>
    </xf>
    <xf numFmtId="0" fontId="3" fillId="0" borderId="27" xfId="0" applyFont="1" applyBorder="1" applyAlignment="1">
      <alignment horizontal="left" vertical="center"/>
    </xf>
    <xf numFmtId="169" fontId="14" fillId="0" borderId="2" xfId="0" applyNumberFormat="1" applyFont="1" applyBorder="1"/>
    <xf numFmtId="0" fontId="3" fillId="0" borderId="8" xfId="0" applyFont="1" applyBorder="1" applyAlignment="1">
      <alignment horizontal="center"/>
    </xf>
    <xf numFmtId="0" fontId="0" fillId="0" borderId="5" xfId="0" applyBorder="1" applyAlignment="1">
      <alignment horizontal="center"/>
    </xf>
    <xf numFmtId="170" fontId="14" fillId="0" borderId="2" xfId="0" applyNumberFormat="1" applyFont="1" applyBorder="1"/>
    <xf numFmtId="168" fontId="0" fillId="0" borderId="4" xfId="0" applyNumberFormat="1" applyBorder="1" applyAlignment="1">
      <alignment horizontal="center"/>
    </xf>
    <xf numFmtId="0" fontId="4" fillId="0" borderId="13" xfId="0" applyFont="1" applyBorder="1"/>
    <xf numFmtId="0" fontId="9" fillId="0" borderId="26"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166" fontId="9" fillId="0" borderId="13" xfId="0" applyNumberFormat="1" applyFont="1" applyBorder="1" applyAlignment="1">
      <alignment vertical="center"/>
    </xf>
    <xf numFmtId="0" fontId="28" fillId="0" borderId="2" xfId="0" applyFont="1" applyBorder="1"/>
    <xf numFmtId="0" fontId="5" fillId="4" borderId="0" xfId="0" applyFont="1" applyFill="1" applyAlignment="1">
      <alignment horizontal="left"/>
    </xf>
    <xf numFmtId="166" fontId="5" fillId="4" borderId="0" xfId="0" applyNumberFormat="1" applyFont="1" applyFill="1" applyAlignment="1">
      <alignment horizontal="right" shrinkToFit="1"/>
    </xf>
    <xf numFmtId="0" fontId="4" fillId="0" borderId="6" xfId="0" applyFont="1" applyBorder="1"/>
    <xf numFmtId="166" fontId="3" fillId="2" borderId="11" xfId="1" applyNumberFormat="1" applyFont="1" applyFill="1" applyBorder="1" applyAlignment="1" applyProtection="1">
      <alignment horizontal="right"/>
      <protection locked="0"/>
    </xf>
    <xf numFmtId="166" fontId="3" fillId="2" borderId="12" xfId="1" applyNumberFormat="1" applyFont="1" applyFill="1" applyBorder="1" applyAlignment="1" applyProtection="1">
      <alignment horizontal="right"/>
      <protection locked="0"/>
    </xf>
    <xf numFmtId="166" fontId="3" fillId="2" borderId="9" xfId="1" applyNumberFormat="1" applyFont="1" applyFill="1" applyBorder="1" applyAlignment="1" applyProtection="1">
      <alignment horizontal="right"/>
      <protection locked="0"/>
    </xf>
    <xf numFmtId="166" fontId="3" fillId="2" borderId="10" xfId="1" applyNumberFormat="1" applyFont="1" applyFill="1" applyBorder="1" applyAlignment="1" applyProtection="1">
      <alignment horizontal="right"/>
      <protection locked="0"/>
    </xf>
    <xf numFmtId="164" fontId="3" fillId="0" borderId="7" xfId="1" applyNumberFormat="1" applyFont="1" applyBorder="1" applyAlignment="1">
      <alignment horizontal="right"/>
    </xf>
    <xf numFmtId="166" fontId="3" fillId="5" borderId="9" xfId="1" applyNumberFormat="1" applyFont="1" applyFill="1" applyBorder="1" applyAlignment="1" applyProtection="1">
      <alignment horizontal="right"/>
      <protection locked="0"/>
    </xf>
    <xf numFmtId="166" fontId="3" fillId="5" borderId="10" xfId="1" applyNumberFormat="1" applyFont="1" applyFill="1" applyBorder="1" applyAlignment="1" applyProtection="1">
      <alignment horizontal="right"/>
      <protection locked="0"/>
    </xf>
    <xf numFmtId="166" fontId="3" fillId="4" borderId="3" xfId="2" applyNumberFormat="1" applyFont="1" applyFill="1" applyBorder="1" applyAlignment="1">
      <alignment horizontal="right"/>
    </xf>
    <xf numFmtId="166" fontId="3" fillId="4" borderId="13" xfId="2" applyNumberFormat="1" applyFont="1" applyFill="1" applyBorder="1" applyAlignment="1">
      <alignment horizontal="right"/>
    </xf>
    <xf numFmtId="166" fontId="3" fillId="4" borderId="4" xfId="2" applyNumberFormat="1" applyFont="1" applyFill="1" applyBorder="1" applyAlignment="1">
      <alignment horizontal="right"/>
    </xf>
    <xf numFmtId="166" fontId="3" fillId="5" borderId="11" xfId="1" applyNumberFormat="1" applyFont="1" applyFill="1" applyBorder="1" applyAlignment="1" applyProtection="1">
      <alignment horizontal="right"/>
      <protection locked="0"/>
    </xf>
    <xf numFmtId="166" fontId="3" fillId="5" borderId="12" xfId="1" applyNumberFormat="1" applyFont="1" applyFill="1" applyBorder="1" applyAlignment="1" applyProtection="1">
      <alignment horizontal="right"/>
      <protection locked="0"/>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4" xfId="0" applyFont="1" applyBorder="1" applyAlignment="1">
      <alignment horizontal="left" vertical="top" wrapText="1"/>
    </xf>
    <xf numFmtId="166" fontId="12" fillId="0" borderId="20" xfId="0" applyNumberFormat="1" applyFont="1" applyBorder="1" applyAlignment="1">
      <alignment horizontal="right" vertical="top"/>
    </xf>
    <xf numFmtId="166" fontId="12" fillId="0" borderId="19" xfId="0" applyNumberFormat="1" applyFont="1" applyBorder="1" applyAlignment="1">
      <alignment horizontal="right" vertical="top"/>
    </xf>
    <xf numFmtId="0" fontId="9" fillId="0" borderId="20" xfId="0" applyFont="1" applyBorder="1" applyAlignment="1">
      <alignment horizontal="left" vertical="center"/>
    </xf>
    <xf numFmtId="0" fontId="9" fillId="0" borderId="18" xfId="0" applyFont="1" applyBorder="1" applyAlignment="1">
      <alignment horizontal="left" vertical="center"/>
    </xf>
    <xf numFmtId="0" fontId="12" fillId="0" borderId="20" xfId="0" applyFont="1" applyBorder="1" applyAlignment="1">
      <alignment horizontal="right" vertical="top"/>
    </xf>
    <xf numFmtId="0" fontId="12" fillId="0" borderId="19" xfId="0" applyFont="1" applyBorder="1" applyAlignment="1">
      <alignment horizontal="right" vertical="top"/>
    </xf>
    <xf numFmtId="0" fontId="12" fillId="0" borderId="18" xfId="0" applyFont="1" applyBorder="1" applyAlignment="1">
      <alignment horizontal="right" vertical="top"/>
    </xf>
    <xf numFmtId="0" fontId="9" fillId="0" borderId="20" xfId="0" applyFont="1" applyBorder="1" applyAlignment="1">
      <alignment horizontal="left" vertical="top"/>
    </xf>
    <xf numFmtId="0" fontId="9" fillId="0" borderId="18" xfId="0" applyFont="1" applyBorder="1" applyAlignment="1">
      <alignment horizontal="left" vertical="top"/>
    </xf>
    <xf numFmtId="166" fontId="3" fillId="4" borderId="3" xfId="2" applyNumberFormat="1" applyFont="1" applyFill="1" applyBorder="1" applyAlignment="1"/>
    <xf numFmtId="166" fontId="3" fillId="4" borderId="13" xfId="2" applyNumberFormat="1" applyFont="1" applyFill="1" applyBorder="1" applyAlignment="1"/>
    <xf numFmtId="166" fontId="3" fillId="4" borderId="4" xfId="2" applyNumberFormat="1" applyFont="1" applyFill="1" applyBorder="1" applyAlignment="1"/>
    <xf numFmtId="166" fontId="4" fillId="2" borderId="25" xfId="0" applyNumberFormat="1" applyFont="1" applyFill="1" applyBorder="1" applyAlignment="1">
      <alignment horizontal="right"/>
    </xf>
    <xf numFmtId="166" fontId="4" fillId="2" borderId="0" xfId="0" applyNumberFormat="1" applyFont="1" applyFill="1" applyAlignment="1">
      <alignment horizontal="right"/>
    </xf>
    <xf numFmtId="166" fontId="4" fillId="5" borderId="24" xfId="0" applyNumberFormat="1" applyFont="1" applyFill="1" applyBorder="1" applyAlignment="1">
      <alignment horizontal="right"/>
    </xf>
    <xf numFmtId="166" fontId="4" fillId="5" borderId="21" xfId="0" applyNumberFormat="1" applyFont="1" applyFill="1" applyBorder="1" applyAlignment="1">
      <alignment horizontal="right"/>
    </xf>
    <xf numFmtId="166" fontId="5" fillId="3" borderId="22" xfId="0" applyNumberFormat="1" applyFont="1" applyFill="1" applyBorder="1" applyAlignment="1">
      <alignment horizontal="right"/>
    </xf>
    <xf numFmtId="166" fontId="5" fillId="3" borderId="21" xfId="0" applyNumberFormat="1" applyFont="1" applyFill="1" applyBorder="1" applyAlignment="1">
      <alignment horizontal="right"/>
    </xf>
    <xf numFmtId="166" fontId="5" fillId="3" borderId="23" xfId="0" applyNumberFormat="1" applyFont="1" applyFill="1" applyBorder="1" applyAlignment="1">
      <alignment horizontal="right"/>
    </xf>
    <xf numFmtId="164" fontId="8" fillId="0" borderId="16" xfId="0" applyNumberFormat="1" applyFont="1" applyBorder="1" applyAlignment="1">
      <alignment horizontal="center"/>
    </xf>
    <xf numFmtId="164" fontId="8" fillId="0" borderId="17" xfId="0" applyNumberFormat="1" applyFont="1" applyBorder="1" applyAlignment="1">
      <alignment horizontal="center"/>
    </xf>
    <xf numFmtId="0" fontId="4" fillId="2" borderId="0" xfId="0" applyFont="1" applyFill="1" applyAlignment="1">
      <alignment horizontal="left"/>
    </xf>
    <xf numFmtId="0" fontId="4" fillId="5" borderId="0" xfId="0" applyFont="1" applyFill="1" applyAlignment="1">
      <alignment horizontal="left"/>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4" fillId="5" borderId="14" xfId="0" applyFont="1" applyFill="1" applyBorder="1" applyAlignment="1">
      <alignment horizontal="left"/>
    </xf>
    <xf numFmtId="0" fontId="4" fillId="2" borderId="14" xfId="0" applyFont="1" applyFill="1" applyBorder="1" applyAlignment="1">
      <alignment horizontal="left"/>
    </xf>
    <xf numFmtId="0" fontId="4" fillId="2" borderId="33" xfId="0" applyFont="1" applyFill="1" applyBorder="1" applyAlignment="1">
      <alignment horizontal="left"/>
    </xf>
    <xf numFmtId="168" fontId="3" fillId="0" borderId="11" xfId="0" applyNumberFormat="1" applyFont="1" applyBorder="1" applyAlignment="1" applyProtection="1">
      <alignment horizontal="center"/>
      <protection locked="0"/>
    </xf>
    <xf numFmtId="168" fontId="3" fillId="0" borderId="12" xfId="0" applyNumberFormat="1" applyFont="1" applyBorder="1" applyAlignment="1" applyProtection="1">
      <alignment horizontal="center"/>
      <protection locked="0"/>
    </xf>
    <xf numFmtId="0" fontId="16" fillId="0" borderId="8" xfId="0" applyFont="1" applyBorder="1" applyAlignment="1">
      <alignment horizontal="left" vertical="top" wrapText="1"/>
    </xf>
    <xf numFmtId="0" fontId="16" fillId="0" borderId="32" xfId="0" applyFont="1" applyBorder="1" applyAlignment="1">
      <alignment horizontal="left" vertical="top" wrapText="1"/>
    </xf>
    <xf numFmtId="166" fontId="5" fillId="3" borderId="28" xfId="0" applyNumberFormat="1" applyFont="1" applyFill="1" applyBorder="1" applyAlignment="1">
      <alignment horizontal="right" shrinkToFit="1"/>
    </xf>
    <xf numFmtId="0" fontId="5" fillId="3" borderId="22" xfId="0" applyFont="1" applyFill="1" applyBorder="1" applyAlignment="1">
      <alignment horizontal="left"/>
    </xf>
    <xf numFmtId="0" fontId="5" fillId="3" borderId="21" xfId="0" applyFont="1" applyFill="1" applyBorder="1" applyAlignment="1">
      <alignment horizontal="left"/>
    </xf>
    <xf numFmtId="0" fontId="5" fillId="3" borderId="23" xfId="0" applyFont="1" applyFill="1" applyBorder="1" applyAlignment="1">
      <alignment horizontal="left"/>
    </xf>
    <xf numFmtId="164" fontId="8" fillId="0" borderId="20" xfId="0" applyNumberFormat="1" applyFont="1" applyBorder="1" applyAlignment="1">
      <alignment horizontal="center"/>
    </xf>
    <xf numFmtId="164" fontId="8" fillId="0" borderId="18" xfId="0" applyNumberFormat="1" applyFont="1" applyBorder="1" applyAlignment="1">
      <alignment horizontal="center"/>
    </xf>
    <xf numFmtId="166" fontId="3" fillId="4" borderId="3" xfId="2" applyNumberFormat="1" applyFont="1" applyFill="1" applyBorder="1" applyAlignment="1" applyProtection="1"/>
    <xf numFmtId="166" fontId="3" fillId="4" borderId="13" xfId="2" applyNumberFormat="1" applyFont="1" applyFill="1" applyBorder="1" applyAlignment="1" applyProtection="1"/>
    <xf numFmtId="166" fontId="3" fillId="4" borderId="4" xfId="2" applyNumberFormat="1" applyFont="1" applyFill="1" applyBorder="1" applyAlignment="1" applyProtection="1"/>
    <xf numFmtId="166" fontId="3" fillId="4" borderId="11" xfId="2" applyNumberFormat="1" applyFont="1" applyFill="1" applyBorder="1" applyAlignment="1" applyProtection="1">
      <protection locked="0"/>
    </xf>
    <xf numFmtId="166" fontId="3" fillId="4" borderId="28" xfId="2" applyNumberFormat="1" applyFont="1" applyFill="1" applyBorder="1" applyAlignment="1" applyProtection="1">
      <protection locked="0"/>
    </xf>
    <xf numFmtId="166" fontId="3" fillId="4" borderId="12" xfId="2" applyNumberFormat="1" applyFont="1" applyFill="1" applyBorder="1" applyAlignment="1" applyProtection="1">
      <protection locked="0"/>
    </xf>
    <xf numFmtId="166" fontId="3" fillId="4" borderId="20" xfId="2" applyNumberFormat="1" applyFont="1" applyFill="1" applyBorder="1" applyAlignment="1" applyProtection="1"/>
    <xf numFmtId="166" fontId="3" fillId="4" borderId="19" xfId="2" applyNumberFormat="1" applyFont="1" applyFill="1" applyBorder="1" applyAlignment="1" applyProtection="1"/>
    <xf numFmtId="166" fontId="3" fillId="4" borderId="18" xfId="2" applyNumberFormat="1" applyFont="1" applyFill="1" applyBorder="1" applyAlignment="1" applyProtection="1"/>
    <xf numFmtId="168" fontId="3" fillId="0" borderId="29" xfId="0" applyNumberFormat="1" applyFont="1" applyBorder="1" applyAlignment="1" applyProtection="1">
      <alignment horizontal="center"/>
      <protection locked="0"/>
    </xf>
    <xf numFmtId="168" fontId="3" fillId="0" borderId="30" xfId="0" applyNumberFormat="1" applyFont="1" applyBorder="1" applyAlignment="1" applyProtection="1">
      <alignment horizontal="center"/>
      <protection locked="0"/>
    </xf>
    <xf numFmtId="168" fontId="3" fillId="0" borderId="16" xfId="0" applyNumberFormat="1" applyFont="1" applyBorder="1" applyAlignment="1">
      <alignment horizontal="center"/>
    </xf>
    <xf numFmtId="168" fontId="3" fillId="0" borderId="17" xfId="0" applyNumberFormat="1" applyFont="1" applyBorder="1" applyAlignment="1">
      <alignment horizontal="center"/>
    </xf>
    <xf numFmtId="0" fontId="12" fillId="0" borderId="20" xfId="0" applyFont="1" applyBorder="1" applyAlignment="1">
      <alignment horizontal="right" vertical="top" shrinkToFit="1"/>
    </xf>
    <xf numFmtId="0" fontId="12" fillId="0" borderId="19" xfId="0" applyFont="1" applyBorder="1" applyAlignment="1">
      <alignment horizontal="right" vertical="top" shrinkToFit="1"/>
    </xf>
    <xf numFmtId="0" fontId="12" fillId="0" borderId="18" xfId="0" applyFont="1" applyBorder="1" applyAlignment="1">
      <alignment horizontal="right" vertical="top" shrinkToFit="1"/>
    </xf>
    <xf numFmtId="166" fontId="3" fillId="4" borderId="20" xfId="2" applyNumberFormat="1" applyFont="1" applyFill="1" applyBorder="1" applyAlignment="1" applyProtection="1">
      <alignment horizontal="right"/>
    </xf>
    <xf numFmtId="166" fontId="3" fillId="4" borderId="13" xfId="2" applyNumberFormat="1" applyFont="1" applyFill="1" applyBorder="1" applyAlignment="1" applyProtection="1">
      <alignment horizontal="right"/>
    </xf>
    <xf numFmtId="166" fontId="3" fillId="4" borderId="4" xfId="2" applyNumberFormat="1" applyFont="1" applyFill="1" applyBorder="1" applyAlignment="1" applyProtection="1">
      <alignment horizontal="right"/>
    </xf>
    <xf numFmtId="166" fontId="12" fillId="0" borderId="20" xfId="0" applyNumberFormat="1" applyFont="1" applyBorder="1" applyAlignment="1">
      <alignment horizontal="right" vertical="top" shrinkToFit="1"/>
    </xf>
    <xf numFmtId="166" fontId="12" fillId="0" borderId="19" xfId="0" applyNumberFormat="1" applyFont="1" applyBorder="1" applyAlignment="1">
      <alignment horizontal="right" vertical="top" shrinkToFit="1"/>
    </xf>
    <xf numFmtId="164" fontId="3" fillId="0" borderId="7" xfId="1" applyNumberFormat="1" applyFont="1" applyBorder="1" applyAlignment="1" applyProtection="1">
      <alignment horizontal="right"/>
    </xf>
    <xf numFmtId="0" fontId="20" fillId="0" borderId="3" xfId="0" applyFont="1" applyBorder="1"/>
    <xf numFmtId="0" fontId="20" fillId="0" borderId="13" xfId="0" applyFont="1" applyBorder="1"/>
    <xf numFmtId="0" fontId="20" fillId="0" borderId="4" xfId="0" applyFont="1" applyBorder="1"/>
    <xf numFmtId="0" fontId="23" fillId="0" borderId="3" xfId="0" applyFont="1" applyBorder="1" applyAlignment="1">
      <alignment horizontal="center"/>
    </xf>
    <xf numFmtId="0" fontId="23" fillId="0" borderId="13" xfId="0" applyFont="1" applyBorder="1" applyAlignment="1">
      <alignment horizontal="center"/>
    </xf>
    <xf numFmtId="0" fontId="23" fillId="0" borderId="4" xfId="0" applyFont="1" applyBorder="1" applyAlignment="1">
      <alignment horizontal="center"/>
    </xf>
    <xf numFmtId="0" fontId="16" fillId="0" borderId="3" xfId="0" applyFont="1" applyBorder="1" applyAlignment="1">
      <alignment horizontal="left" vertical="top" wrapText="1"/>
    </xf>
    <xf numFmtId="0" fontId="16" fillId="0" borderId="13" xfId="0" applyFont="1" applyBorder="1" applyAlignment="1">
      <alignment horizontal="left" vertical="top" wrapText="1"/>
    </xf>
    <xf numFmtId="0" fontId="16" fillId="0" borderId="4" xfId="0" applyFont="1" applyBorder="1" applyAlignment="1">
      <alignment horizontal="left" vertical="top" wrapText="1"/>
    </xf>
    <xf numFmtId="0" fontId="16" fillId="0" borderId="3" xfId="0" applyFont="1" applyBorder="1" applyAlignment="1">
      <alignment horizontal="left" wrapText="1"/>
    </xf>
    <xf numFmtId="0" fontId="16" fillId="0" borderId="13" xfId="0" applyFont="1" applyBorder="1" applyAlignment="1">
      <alignment horizontal="left" wrapText="1"/>
    </xf>
    <xf numFmtId="0" fontId="16" fillId="0" borderId="4" xfId="0" applyFont="1" applyBorder="1" applyAlignment="1">
      <alignment horizontal="left" wrapText="1"/>
    </xf>
    <xf numFmtId="166" fontId="20" fillId="0" borderId="3" xfId="0" applyNumberFormat="1" applyFont="1" applyBorder="1" applyAlignment="1">
      <alignment horizontal="left"/>
    </xf>
    <xf numFmtId="166" fontId="20" fillId="0" borderId="13" xfId="0" applyNumberFormat="1" applyFont="1" applyBorder="1" applyAlignment="1">
      <alignment horizontal="left"/>
    </xf>
    <xf numFmtId="166" fontId="20" fillId="0" borderId="4" xfId="0" applyNumberFormat="1" applyFont="1" applyBorder="1" applyAlignment="1">
      <alignment horizontal="left"/>
    </xf>
    <xf numFmtId="166" fontId="11" fillId="4" borderId="20" xfId="2" applyNumberFormat="1" applyFont="1" applyFill="1" applyBorder="1" applyAlignment="1" applyProtection="1"/>
    <xf numFmtId="166" fontId="11" fillId="4" borderId="19" xfId="2" applyNumberFormat="1" applyFont="1" applyFill="1" applyBorder="1" applyAlignment="1" applyProtection="1"/>
    <xf numFmtId="166" fontId="11" fillId="4" borderId="18" xfId="2" applyNumberFormat="1" applyFont="1" applyFill="1" applyBorder="1" applyAlignment="1" applyProtection="1"/>
    <xf numFmtId="0" fontId="22" fillId="0" borderId="3" xfId="0" applyFont="1" applyBorder="1" applyAlignment="1">
      <alignment horizontal="center" vertical="top" wrapText="1"/>
    </xf>
    <xf numFmtId="0" fontId="22" fillId="0" borderId="13" xfId="0" applyFont="1" applyBorder="1" applyAlignment="1">
      <alignment horizontal="center" vertical="top" wrapText="1"/>
    </xf>
    <xf numFmtId="0" fontId="22" fillId="0" borderId="4" xfId="0" applyFont="1" applyBorder="1" applyAlignment="1">
      <alignment horizontal="center" vertical="top" wrapText="1"/>
    </xf>
    <xf numFmtId="0" fontId="29" fillId="0" borderId="16" xfId="0" applyFont="1" applyBorder="1" applyAlignment="1">
      <alignment horizontal="left" vertical="center" wrapText="1"/>
    </xf>
    <xf numFmtId="0" fontId="29" fillId="0" borderId="34" xfId="0" applyFont="1" applyBorder="1" applyAlignment="1">
      <alignment horizontal="left" vertical="center" wrapText="1"/>
    </xf>
    <xf numFmtId="0" fontId="29" fillId="0" borderId="17" xfId="0" applyFont="1" applyBorder="1" applyAlignment="1">
      <alignment horizontal="left" vertical="center" wrapText="1"/>
    </xf>
    <xf numFmtId="0" fontId="3" fillId="0" borderId="3" xfId="0" applyFont="1" applyBorder="1" applyAlignment="1">
      <alignment shrinkToFit="1"/>
    </xf>
    <xf numFmtId="0" fontId="30" fillId="0" borderId="14" xfId="0" applyFont="1" applyBorder="1" applyAlignment="1">
      <alignment horizontal="left" vertical="top" wrapText="1"/>
    </xf>
    <xf numFmtId="0" fontId="30" fillId="0" borderId="27" xfId="0" applyFont="1" applyBorder="1" applyAlignment="1">
      <alignment horizontal="left" vertical="top" wrapText="1"/>
    </xf>
    <xf numFmtId="0" fontId="30" fillId="0" borderId="32" xfId="0" applyFont="1" applyBorder="1" applyAlignment="1">
      <alignment horizontal="left" vertical="top" wrapText="1"/>
    </xf>
  </cellXfs>
  <cellStyles count="3">
    <cellStyle name="Currency" xfId="1" builtinId="4"/>
    <cellStyle name="Normal" xfId="0" builtinId="0"/>
    <cellStyle name="Percent" xfId="2" builtinId="5"/>
  </cellStyles>
  <dxfs count="13">
    <dxf>
      <font>
        <color theme="0"/>
      </font>
    </dxf>
    <dxf>
      <font>
        <color theme="0"/>
      </font>
    </dxf>
    <dxf>
      <font>
        <color theme="0"/>
      </font>
      <border>
        <left style="thin">
          <color theme="0"/>
        </left>
        <right style="thin">
          <color theme="0"/>
        </right>
        <top style="thin">
          <color rgb="FF2167AE"/>
        </top>
        <bottom style="thin">
          <color theme="0"/>
        </bottom>
      </border>
    </dxf>
    <dxf>
      <font>
        <color rgb="FF2167AE"/>
      </font>
      <border>
        <left style="thin">
          <color rgb="FF2167AE"/>
        </left>
        <right style="thin">
          <color rgb="FF2167AE"/>
        </right>
        <top style="thin">
          <color rgb="FF2167AE"/>
        </top>
        <bottom style="thin">
          <color rgb="FF2167AE"/>
        </bottom>
        <vertical/>
        <horizontal/>
      </border>
    </dxf>
    <dxf>
      <font>
        <color theme="0"/>
      </font>
      <border>
        <left style="thin">
          <color theme="0"/>
        </left>
        <right style="thin">
          <color theme="0"/>
        </right>
        <top style="thin">
          <color theme="0"/>
        </top>
        <bottom style="thin">
          <color theme="0"/>
        </bottom>
        <vertical/>
        <horizontal/>
      </border>
    </dxf>
    <dxf>
      <font>
        <color theme="0"/>
      </font>
      <border>
        <left style="thin">
          <color theme="0"/>
        </left>
        <right style="thin">
          <color theme="0"/>
        </right>
        <top style="thin">
          <color theme="0"/>
        </top>
        <bottom style="thin">
          <color theme="0"/>
        </bottom>
      </border>
    </dxf>
    <dxf>
      <fill>
        <patternFill>
          <bgColor rgb="FF2167AE"/>
        </patternFill>
      </fill>
      <border>
        <left style="thin">
          <color rgb="FF2167AE"/>
        </left>
        <right style="thin">
          <color rgb="FF2167AE"/>
        </right>
        <top style="thin">
          <color rgb="FF2167AE"/>
        </top>
        <bottom style="thin">
          <color rgb="FF2167AE"/>
        </bottom>
      </border>
    </dxf>
    <dxf>
      <fill>
        <patternFill>
          <bgColor theme="0"/>
        </patternFill>
      </fill>
      <border>
        <left style="thin">
          <color theme="0"/>
        </left>
        <right style="thin">
          <color theme="0"/>
        </right>
        <top style="thin">
          <color theme="0"/>
        </top>
        <bottom style="thin">
          <color theme="0"/>
        </bottom>
        <vertical/>
        <horizontal/>
      </border>
    </dxf>
    <dxf>
      <font>
        <b/>
        <i val="0"/>
      </font>
    </dxf>
    <dxf>
      <font>
        <b/>
        <i val="0"/>
      </font>
    </dxf>
    <dxf>
      <font>
        <color theme="0"/>
      </font>
      <border>
        <left style="thin">
          <color theme="0"/>
        </left>
        <right style="thin">
          <color theme="0"/>
        </right>
        <top style="thin">
          <color theme="0"/>
        </top>
        <bottom style="thin">
          <color theme="0"/>
        </bottom>
      </border>
    </dxf>
    <dxf>
      <font>
        <b/>
        <i val="0"/>
        <color theme="0"/>
      </font>
    </dxf>
    <dxf>
      <font>
        <b/>
        <i val="0"/>
      </font>
    </dxf>
  </dxfs>
  <tableStyles count="0" defaultTableStyle="TableStyleMedium2" defaultPivotStyle="PivotStyleLight16"/>
  <colors>
    <mruColors>
      <color rgb="FF2167AE"/>
      <color rgb="FF002060"/>
      <color rgb="FFDDE4E3"/>
      <color rgb="FFDAD2BD"/>
      <color rgb="FF418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22598</xdr:colOff>
      <xdr:row>0</xdr:row>
      <xdr:rowOff>247233</xdr:rowOff>
    </xdr:from>
    <xdr:to>
      <xdr:col>6</xdr:col>
      <xdr:colOff>94324</xdr:colOff>
      <xdr:row>0</xdr:row>
      <xdr:rowOff>651994</xdr:rowOff>
    </xdr:to>
    <xdr:pic>
      <xdr:nvPicPr>
        <xdr:cNvPr id="4" name="Graphic 4">
          <a:extLst>
            <a:ext uri="{FF2B5EF4-FFF2-40B4-BE49-F238E27FC236}">
              <a16:creationId xmlns:a16="http://schemas.microsoft.com/office/drawing/2014/main" id="{DD1C5AA2-C27C-40E0-2320-8C3F5DE16FB3}"/>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 uri="{96DAC541-7B7A-43D3-8B79-37D633B846F1}">
              <asvg:svgBlip xmlns:asvg="http://schemas.microsoft.com/office/drawing/2016/SVG/main" r:embed="rId2"/>
            </a:ext>
          </a:extLst>
        </a:blip>
        <a:srcRect r="45676"/>
        <a:stretch/>
      </xdr:blipFill>
      <xdr:spPr>
        <a:xfrm>
          <a:off x="5235371" y="247233"/>
          <a:ext cx="1543771" cy="404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450905</xdr:colOff>
      <xdr:row>0</xdr:row>
      <xdr:rowOff>199608</xdr:rowOff>
    </xdr:from>
    <xdr:to>
      <xdr:col>6</xdr:col>
      <xdr:colOff>148933</xdr:colOff>
      <xdr:row>0</xdr:row>
      <xdr:rowOff>592939</xdr:rowOff>
    </xdr:to>
    <xdr:pic>
      <xdr:nvPicPr>
        <xdr:cNvPr id="2" name="Graphic 4">
          <a:extLst>
            <a:ext uri="{FF2B5EF4-FFF2-40B4-BE49-F238E27FC236}">
              <a16:creationId xmlns:a16="http://schemas.microsoft.com/office/drawing/2014/main" id="{677339FA-EF30-44CF-94FC-21EF07200F6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 uri="{96DAC541-7B7A-43D3-8B79-37D633B846F1}">
              <asvg:svgBlip xmlns:asvg="http://schemas.microsoft.com/office/drawing/2016/SVG/main" r:embed="rId2"/>
            </a:ext>
          </a:extLst>
        </a:blip>
        <a:srcRect r="45676"/>
        <a:stretch/>
      </xdr:blipFill>
      <xdr:spPr>
        <a:xfrm>
          <a:off x="5708705" y="199608"/>
          <a:ext cx="1603028" cy="3990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0996-6C3D-43A8-9841-BFE570D464A6}">
  <dimension ref="A1:I28"/>
  <sheetViews>
    <sheetView zoomScale="120" zoomScaleNormal="120" workbookViewId="0">
      <selection activeCell="C6" sqref="C6:D6"/>
    </sheetView>
  </sheetViews>
  <sheetFormatPr defaultColWidth="0" defaultRowHeight="15" zeroHeight="1" x14ac:dyDescent="0.25"/>
  <cols>
    <col min="1" max="1" width="4.140625" style="7" customWidth="1"/>
    <col min="2" max="2" width="66.85546875" style="7" customWidth="1"/>
    <col min="3" max="4" width="7.140625" style="7" customWidth="1"/>
    <col min="5" max="5" width="9.28515625" style="7" customWidth="1"/>
    <col min="6" max="6" width="5.5703125" style="7" customWidth="1"/>
    <col min="7" max="7" width="4.28515625" style="9" customWidth="1"/>
    <col min="8" max="8" width="12.28515625" style="6" hidden="1" customWidth="1"/>
    <col min="9" max="9" width="10.85546875" style="6" hidden="1" customWidth="1"/>
    <col min="10" max="16384" width="9.140625" hidden="1"/>
  </cols>
  <sheetData>
    <row r="1" spans="1:9" ht="84.75" customHeight="1" x14ac:dyDescent="0.65">
      <c r="B1" s="15" t="s">
        <v>0</v>
      </c>
    </row>
    <row r="2" spans="1:9" x14ac:dyDescent="0.25">
      <c r="D2" s="12"/>
      <c r="E2" s="12"/>
      <c r="F2" s="12"/>
    </row>
    <row r="3" spans="1:9" x14ac:dyDescent="0.25">
      <c r="B3" s="8" t="s">
        <v>1</v>
      </c>
      <c r="C3" s="10"/>
      <c r="D3" s="21">
        <v>49</v>
      </c>
      <c r="E3" s="42" t="str">
        <f>IF(G22="","","^")</f>
        <v/>
      </c>
      <c r="F3" s="11"/>
      <c r="G3" s="16"/>
    </row>
    <row r="4" spans="1:9" x14ac:dyDescent="0.25">
      <c r="C4" s="17"/>
      <c r="D4" s="17"/>
      <c r="E4" s="17"/>
      <c r="F4" s="17"/>
    </row>
    <row r="5" spans="1:9" x14ac:dyDescent="0.25">
      <c r="B5" s="10" t="s">
        <v>2</v>
      </c>
      <c r="C5" s="127">
        <v>500000</v>
      </c>
      <c r="D5" s="128"/>
      <c r="E5" s="34" t="str">
        <f>IFERROR(IF(C5="","",IF(C5=0,"","(a)")),"")</f>
        <v>(a)</v>
      </c>
      <c r="F5" s="30"/>
      <c r="G5" s="16" t="str">
        <f>IF(C9=0,"",IF(G7+G8=2,"(a)",IF(G7+G8=1,"(b)","(c)")))</f>
        <v>(c)</v>
      </c>
    </row>
    <row r="6" spans="1:9" x14ac:dyDescent="0.25">
      <c r="B6" s="10" t="s">
        <v>3</v>
      </c>
      <c r="C6" s="125">
        <v>50000</v>
      </c>
      <c r="D6" s="126"/>
      <c r="E6" s="29" t="s">
        <v>4</v>
      </c>
      <c r="F6" s="23">
        <v>65</v>
      </c>
      <c r="G6" s="16" t="str">
        <f>IF(C10=0,"",IF(G7+G8+G9=3,"(a)",IF(G7+G8+G9=2,"(b)",IF(G7+G8+G9=1,"(c)","(d)"))))</f>
        <v>(d)</v>
      </c>
      <c r="H6" s="6">
        <v>0</v>
      </c>
      <c r="I6" s="39">
        <v>5000000</v>
      </c>
    </row>
    <row r="7" spans="1:9" x14ac:dyDescent="0.25">
      <c r="B7" s="140" t="str">
        <f>IFERROR(IF(Data!G2=0,"","(Estimated capital required for "&amp;DOLLAR(C6,0)&amp;" p.a. income "&amp;D12&amp;"x "&amp;F6-D3&amp;B12&amp;"= "&amp;DOLLAR(Data!G2,0)&amp;")"),"")</f>
        <v>(Estimated capital required for $50,000 p.a. income (increasing by 2.5% yearly) x 16 years = $719,384)</v>
      </c>
      <c r="C7" s="141"/>
      <c r="D7" s="141"/>
      <c r="E7" s="33" t="str">
        <f>IFERROR(IF(C$6="","",IF(C$6=0,"",IF(E$5="(a)","(b)","(a)"))),"")</f>
        <v>(b)</v>
      </c>
      <c r="F7" s="31"/>
      <c r="G7" s="16">
        <f>COUNTIF(E5,"")</f>
        <v>0</v>
      </c>
      <c r="H7" s="6">
        <v>41</v>
      </c>
      <c r="I7" s="39">
        <v>4000000</v>
      </c>
    </row>
    <row r="8" spans="1:9" x14ac:dyDescent="0.25">
      <c r="B8" s="8"/>
      <c r="C8" s="129"/>
      <c r="D8" s="129"/>
      <c r="E8" s="11"/>
      <c r="F8" s="11"/>
      <c r="G8" s="16">
        <f>COUNTIF(E7,"")</f>
        <v>0</v>
      </c>
      <c r="H8" s="6">
        <v>51</v>
      </c>
      <c r="I8" s="39">
        <v>3000000</v>
      </c>
    </row>
    <row r="9" spans="1:9" x14ac:dyDescent="0.25">
      <c r="B9" s="10" t="s">
        <v>5</v>
      </c>
      <c r="C9" s="130">
        <v>150000</v>
      </c>
      <c r="D9" s="131"/>
      <c r="E9" s="142" t="str">
        <f>IFERROR(IF(C9=0,"",G5),"")</f>
        <v>(c)</v>
      </c>
      <c r="F9" s="143"/>
      <c r="G9" s="16">
        <f>COUNTIF(E9,"")</f>
        <v>0</v>
      </c>
      <c r="H9" s="6">
        <v>56</v>
      </c>
      <c r="I9" s="39">
        <v>2000000</v>
      </c>
    </row>
    <row r="10" spans="1:9" x14ac:dyDescent="0.25">
      <c r="B10" s="10" t="s">
        <v>6</v>
      </c>
      <c r="C10" s="135">
        <v>25000</v>
      </c>
      <c r="D10" s="136"/>
      <c r="E10" s="29" t="s">
        <v>4</v>
      </c>
      <c r="F10" s="22">
        <v>65</v>
      </c>
      <c r="G10" s="36" t="str">
        <f>IF(F10&gt;65,"*","")</f>
        <v/>
      </c>
      <c r="H10" s="6">
        <v>65</v>
      </c>
    </row>
    <row r="11" spans="1:9" x14ac:dyDescent="0.25">
      <c r="B11" s="144" t="str">
        <f>IFERROR(IF(Data!O2=0,"","(Estimated capital required for "&amp;DOLLAR(C10,0)&amp;" p.a. income "&amp;D12&amp;"x "&amp;Data!M2&amp;G10&amp;C12&amp;"= "&amp;DOLLAR(Data!O2,0)&amp;")"),"")</f>
        <v>(Estimated capital required for $25,000 p.a. income (increasing by 2.5% yearly) x 16 years = $359,692)</v>
      </c>
      <c r="C11" s="145"/>
      <c r="D11" s="146"/>
      <c r="E11" s="147" t="str">
        <f>IFERROR(IF(Data!O2=0,"",G6),"")</f>
        <v>(d)</v>
      </c>
      <c r="F11" s="148"/>
      <c r="G11" s="36" t="str">
        <f>IF(G10="","","*TPD Continuous Care ends policy anniversary after age 65, so estimated capital required has been limited to "&amp;Data!M2&amp;" "&amp;TRIM(C12)&amp;" (to age 65).")</f>
        <v/>
      </c>
    </row>
    <row r="12" spans="1:9" s="6" customFormat="1" x14ac:dyDescent="0.25">
      <c r="A12" s="9"/>
      <c r="B12" s="32" t="str">
        <f>IF(F6-D3=1," year "," years ")</f>
        <v xml:space="preserve"> years </v>
      </c>
      <c r="C12" s="32" t="str">
        <f>IF(F10-D3=1," year "," years ")</f>
        <v xml:space="preserve"> years </v>
      </c>
      <c r="D12" s="28" t="str">
        <f>IF(D13=0,"","(increasing by "&amp;D13*100&amp;"% yearly) ")</f>
        <v xml:space="preserve">(increasing by 2.5% yearly) </v>
      </c>
      <c r="E12" s="16"/>
      <c r="F12" s="37"/>
      <c r="G12" s="9"/>
      <c r="H12" s="6" t="str">
        <f>IF(D3&gt;65,"0",IF(D3&gt;55,"and over",IF(D3&gt;50,"to 55",IF(D3&gt;40,"to 50","0"))))</f>
        <v>to 50</v>
      </c>
    </row>
    <row r="13" spans="1:9" x14ac:dyDescent="0.25">
      <c r="B13" s="8" t="s">
        <v>7</v>
      </c>
      <c r="C13" s="10"/>
      <c r="D13" s="24">
        <v>2.5000000000000001E-2</v>
      </c>
      <c r="E13" s="11"/>
      <c r="G13" s="16">
        <f>VLOOKUP(D3,H6:I10,2,TRUE)</f>
        <v>4000000</v>
      </c>
      <c r="H13" s="6" t="str">
        <f>IF(G13&lt;5000000," (for those aged "&amp;VLOOKUP(D3,H6:H10,1,TRUE)&amp;" "&amp;H12&amp;"). ",". ")</f>
        <v xml:space="preserve"> (for those aged 41 to 50). </v>
      </c>
    </row>
    <row r="14" spans="1:9" x14ac:dyDescent="0.25">
      <c r="B14" s="8" t="s">
        <v>8</v>
      </c>
      <c r="C14" s="10"/>
      <c r="D14" s="24">
        <v>3.5000000000000003E-2</v>
      </c>
      <c r="E14" s="11"/>
      <c r="G14" s="16" t="b">
        <f>IF(G18&gt;5000000,IF(C16&gt;3000000,5000000-3000000-C17,""))</f>
        <v>0</v>
      </c>
    </row>
    <row r="15" spans="1:9" x14ac:dyDescent="0.25">
      <c r="B15" s="163"/>
      <c r="C15" s="164"/>
      <c r="D15" s="164"/>
      <c r="E15" s="164"/>
      <c r="F15" s="165"/>
      <c r="G15" s="26">
        <f>IF(C18&gt;5000000,CEILING(C18-5000000+G21,1000),CEILING(C16-3000000,1000))</f>
        <v>-1780000</v>
      </c>
      <c r="H15" s="40">
        <f>IF(C18&gt;G13,CEILING(C18-G13+G21,1000),CEILING(C16-3000000,1000))</f>
        <v>-1780000</v>
      </c>
    </row>
    <row r="16" spans="1:9" x14ac:dyDescent="0.25">
      <c r="A16" s="13"/>
      <c r="B16" s="20" t="str">
        <f>"Total capital required via traditional TPD "&amp;E5&amp;E7</f>
        <v>Total capital required via traditional TPD (a)(b)</v>
      </c>
      <c r="C16" s="132">
        <f>CEILING(G20,1)</f>
        <v>1219385</v>
      </c>
      <c r="D16" s="133"/>
      <c r="E16" s="133"/>
      <c r="F16" s="134"/>
      <c r="G16" s="27">
        <f>IF(C18&gt;5000000,2000000,CEILING(G15+C17,1000))</f>
        <v>-1270000</v>
      </c>
      <c r="H16" s="41">
        <f>IFERROR(ROUNDDOWN(5000000-D20,1000),2000000)</f>
        <v>3780000</v>
      </c>
    </row>
    <row r="17" spans="1:8" x14ac:dyDescent="0.25">
      <c r="A17" s="13"/>
      <c r="B17" s="20" t="str">
        <f>"Total capital required via TPD Continuous Care "&amp;E9&amp;E11</f>
        <v>Total capital required via TPD Continuous Care (c)(d)</v>
      </c>
      <c r="C17" s="149">
        <f>CEILING(G21,1)</f>
        <v>509693</v>
      </c>
      <c r="D17" s="150"/>
      <c r="E17" s="150"/>
      <c r="F17" s="151"/>
      <c r="G17" s="27">
        <f>ROUNDDOWN(5000000-C16,1000)</f>
        <v>3780615</v>
      </c>
    </row>
    <row r="18" spans="1:8" x14ac:dyDescent="0.25">
      <c r="A18" s="13"/>
      <c r="B18" s="20" t="str">
        <f>"Total capital required "&amp;E5&amp;E7&amp;G5&amp;G6</f>
        <v>Total capital required (a)(b)(c)(d)</v>
      </c>
      <c r="C18" s="149">
        <f>CEILING(G18,1)</f>
        <v>1729077</v>
      </c>
      <c r="D18" s="150"/>
      <c r="E18" s="150"/>
      <c r="F18" s="151"/>
      <c r="G18" s="27">
        <f>Data!G2+C5+C9+Data!O2</f>
        <v>1729076.2444341793</v>
      </c>
    </row>
    <row r="19" spans="1:8" x14ac:dyDescent="0.25">
      <c r="A19" s="13"/>
      <c r="B19" s="18"/>
      <c r="C19" s="19"/>
      <c r="D19" s="19"/>
      <c r="E19" s="19"/>
      <c r="F19" s="19"/>
      <c r="G19" s="27"/>
    </row>
    <row r="20" spans="1:8" x14ac:dyDescent="0.25">
      <c r="B20" s="161" t="str">
        <f>"Traditional TPD sum insured (rounded to nearest $1,000) "&amp;E5&amp;E7</f>
        <v>Traditional TPD sum insured (rounded to nearest $1,000) (a)(b)</v>
      </c>
      <c r="C20" s="161"/>
      <c r="D20" s="152">
        <f>IF(G20=0,"$0",IF(G20&gt;3000000,"$3,000,000*",CEILING(G20,1000)))</f>
        <v>1220000</v>
      </c>
      <c r="E20" s="153"/>
      <c r="F20" s="153"/>
      <c r="G20" s="27">
        <f>C5+Data!G2</f>
        <v>1219384.1629561195</v>
      </c>
    </row>
    <row r="21" spans="1:8" x14ac:dyDescent="0.25">
      <c r="B21" s="162" t="str">
        <f>"TPD Continuous Care sum insured (rounded to nearest $1,000) "&amp;E9&amp;E11</f>
        <v>TPD Continuous Care sum insured (rounded to nearest $1,000) (c)(d)</v>
      </c>
      <c r="C21" s="162"/>
      <c r="D21" s="154">
        <f>IF(G21=0,"$0",IF(C16+C17&gt;5000000,DOLLAR(H16,0)&amp;"**",IF(C16&gt;3000000,DOLLAR(G16,0)&amp;"**",IF(C17&gt;G13,DOLLAR(G13,0)&amp;"**",CEILING(G21,1000)))))</f>
        <v>510000</v>
      </c>
      <c r="E21" s="155"/>
      <c r="F21" s="155"/>
      <c r="G21" s="27">
        <f>C9+Data!O2</f>
        <v>509692.08147805982</v>
      </c>
    </row>
    <row r="22" spans="1:8" x14ac:dyDescent="0.25">
      <c r="A22" s="13"/>
      <c r="B22" s="14" t="str">
        <f>"Total TPD sum insured "&amp;E5&amp;E7&amp;E9&amp;E11</f>
        <v>Total TPD sum insured (a)(b)(c)(d)</v>
      </c>
      <c r="C22" s="156">
        <f>IF(C23&gt;5000000,"$5,000,000***",IF(C16&gt;3000000,DOLLAR(3000000+G16,0),IF(C17&gt;G13,DOLLAR(G13+G20,0),C23)))</f>
        <v>1730000</v>
      </c>
      <c r="D22" s="157"/>
      <c r="E22" s="157"/>
      <c r="F22" s="158"/>
      <c r="G22" s="16" t="str">
        <f>IF(D3&gt;60,"^Maximum entry age for TPD Continuous Care is age 60. ",IF(D3&lt;15,"^Minimum entry age for TPD Continuous Care is age 15. ",""))</f>
        <v/>
      </c>
    </row>
    <row r="23" spans="1:8" ht="30" customHeight="1" x14ac:dyDescent="0.25">
      <c r="B23" s="25" t="str">
        <f>IF(B24="","","Note:")</f>
        <v/>
      </c>
      <c r="C23" s="159">
        <f>(CEILING(E23+F23,1000))</f>
        <v>1730000</v>
      </c>
      <c r="D23" s="160"/>
      <c r="E23" s="38">
        <f>(CEILING(G20,1000))</f>
        <v>1220000</v>
      </c>
      <c r="F23" s="35">
        <f>(CEILING(G21,1000))</f>
        <v>510000</v>
      </c>
      <c r="G23" s="9" t="str">
        <f>IF(G20&gt;3000000,"*Traditional TPD sum insured is generally limited to $3 million (subject to individual underwriting). ","")</f>
        <v/>
      </c>
    </row>
    <row r="24" spans="1:8" ht="75" customHeight="1" x14ac:dyDescent="0.25">
      <c r="B24" s="137" t="str">
        <f>G22&amp;G26&amp;G11&amp;G23&amp;G25&amp;G27&amp;G24</f>
        <v/>
      </c>
      <c r="C24" s="138"/>
      <c r="D24" s="138"/>
      <c r="E24" s="138"/>
      <c r="F24" s="139"/>
      <c r="G24" s="9" t="str">
        <f>IF(C18&gt;5000000,"***The total TPD sum insured has been capped at $5 million as the "&amp;DOLLAR(C18,0)&amp;" capital required exceeds the maximum TPD sum insured. ","")</f>
        <v/>
      </c>
    </row>
    <row r="25" spans="1:8" s="6" customFormat="1" x14ac:dyDescent="0.25">
      <c r="A25" s="9"/>
      <c r="B25" s="9"/>
      <c r="C25" s="9"/>
      <c r="D25" s="9"/>
      <c r="E25" s="9"/>
      <c r="F25" s="9"/>
      <c r="G25" s="9" t="str">
        <f>IF(G27="",IF(C16&gt;3000000,"**The TPD Continuous Care sum insured has been increased by the amount over the $3m traditional TPD limit (approx. "&amp;IF(G14="",DOLLAR(G15,0),IF(G14=FALSE,DOLLAR(G15,0),DOLLAR(G14,0)))&amp;"). ",""),"")</f>
        <v/>
      </c>
      <c r="H25" s="6" t="str">
        <f>IF(G24="","The","Also, the")</f>
        <v>The</v>
      </c>
    </row>
    <row r="26" spans="1:8" hidden="1" x14ac:dyDescent="0.25">
      <c r="G26" s="9" t="str">
        <f>IF(D3&gt;64,"**TPD Continuous Care ceases from policy annivesary when aged 65. ","")</f>
        <v/>
      </c>
    </row>
    <row r="27" spans="1:8" hidden="1" x14ac:dyDescent="0.25">
      <c r="G27" s="9" t="str">
        <f>IF(G26="",IF(C17&gt;G13,"**The TPD Continuous Care sum insured is less than the total capital required to ensure the TPD Continuous Care sum insured doesn't exceed $"&amp;G13/1000000&amp;"m"&amp;H13,""),"")</f>
        <v/>
      </c>
    </row>
    <row r="28" spans="1:8" hidden="1" x14ac:dyDescent="0.25">
      <c r="G28" s="9" t="str">
        <f>IF(G26="",IF(C17&gt;G13,"TPD Continuous Care sum insured doesn't exceed $"&amp;G13/1000000&amp;"m (for those "&amp;H13,""),"")</f>
        <v/>
      </c>
    </row>
  </sheetData>
  <sheetProtection sheet="1" objects="1" scenarios="1" selectLockedCells="1"/>
  <mergeCells count="20">
    <mergeCell ref="B24:F24"/>
    <mergeCell ref="B7:D7"/>
    <mergeCell ref="E9:F9"/>
    <mergeCell ref="B11:D11"/>
    <mergeCell ref="E11:F11"/>
    <mergeCell ref="C17:F17"/>
    <mergeCell ref="C18:F18"/>
    <mergeCell ref="D20:F20"/>
    <mergeCell ref="D21:F21"/>
    <mergeCell ref="C22:F22"/>
    <mergeCell ref="C23:D23"/>
    <mergeCell ref="B20:C20"/>
    <mergeCell ref="B21:C21"/>
    <mergeCell ref="B15:F15"/>
    <mergeCell ref="C6:D6"/>
    <mergeCell ref="C5:D5"/>
    <mergeCell ref="C8:D8"/>
    <mergeCell ref="C9:D9"/>
    <mergeCell ref="C16:F16"/>
    <mergeCell ref="C10:D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A4CBC-0470-4810-8305-154F407F1EA2}">
  <sheetPr>
    <pageSetUpPr fitToPage="1"/>
  </sheetPr>
  <dimension ref="A1:O72"/>
  <sheetViews>
    <sheetView tabSelected="1" zoomScaleNormal="100" workbookViewId="0">
      <selection activeCell="D4" sqref="D4"/>
    </sheetView>
  </sheetViews>
  <sheetFormatPr defaultColWidth="0" defaultRowHeight="15" customHeight="1" zeroHeight="1" x14ac:dyDescent="0.25"/>
  <cols>
    <col min="1" max="1" width="4.140625" style="7" customWidth="1"/>
    <col min="2" max="2" width="68" style="7" customWidth="1"/>
    <col min="3" max="3" width="5.5703125" style="7" customWidth="1"/>
    <col min="4" max="4" width="9.28515625" style="7" customWidth="1"/>
    <col min="5" max="5" width="11" style="7" customWidth="1"/>
    <col min="6" max="6" width="7.42578125" style="76" customWidth="1"/>
    <col min="7" max="7" width="5" style="60" customWidth="1"/>
    <col min="8" max="8" width="14.7109375" style="53" hidden="1" customWidth="1"/>
    <col min="9" max="9" width="14.5703125" style="53" hidden="1" customWidth="1"/>
    <col min="10" max="10" width="10.28515625" style="53" hidden="1" customWidth="1"/>
    <col min="11" max="16384" width="9.140625" style="7" hidden="1"/>
  </cols>
  <sheetData>
    <row r="1" spans="2:15" ht="72.599999999999994" customHeight="1" x14ac:dyDescent="0.65">
      <c r="B1" s="15" t="s">
        <v>0</v>
      </c>
    </row>
    <row r="2" spans="2:15" ht="11.45" customHeight="1" x14ac:dyDescent="0.25">
      <c r="D2" s="12"/>
      <c r="E2" s="12"/>
      <c r="F2" s="113"/>
      <c r="G2" s="60" t="s">
        <v>18</v>
      </c>
      <c r="H2" s="53">
        <f>_xlfn.DAYS(C30,C29)</f>
        <v>7305</v>
      </c>
      <c r="I2" s="53">
        <f>C32</f>
        <v>45911</v>
      </c>
      <c r="J2" s="53">
        <f>C29</f>
        <v>29312</v>
      </c>
      <c r="K2" s="7">
        <f>IF(E30="^^",1,0)</f>
        <v>0</v>
      </c>
      <c r="L2" s="7" t="str">
        <f>IF(K2+K3=2," date of birth and ESD",IF(K3=1," ESD"," date of birth"))</f>
        <v xml:space="preserve"> date of birth</v>
      </c>
    </row>
    <row r="3" spans="2:15" x14ac:dyDescent="0.25">
      <c r="B3" s="8" t="str">
        <f>IF(D4="No","Current age","Current age (for super tax calc., please also use date of birth below)*")</f>
        <v>Current age</v>
      </c>
      <c r="C3" s="10"/>
      <c r="D3" s="43">
        <v>45</v>
      </c>
      <c r="E3" s="42" t="str">
        <f>IF(G28="","","^")</f>
        <v/>
      </c>
      <c r="F3" s="115"/>
      <c r="G3" s="78" t="s">
        <v>23</v>
      </c>
      <c r="H3" s="53">
        <f>_xlfn.DAYS(C32,C30)</f>
        <v>9294</v>
      </c>
      <c r="I3" s="53" t="str">
        <f>C33</f>
        <v/>
      </c>
      <c r="J3" s="53">
        <f>C30</f>
        <v>36617</v>
      </c>
      <c r="K3" s="7">
        <f>IF(E32="^^",1,0)</f>
        <v>0</v>
      </c>
      <c r="L3" s="7" t="str">
        <f>IF(K2+K3&gt;0,"^^Unable to calculate tax component. Please amend "&amp;K5&amp;"client's "&amp;L4&amp;K4&amp;L5&amp;" to a date after their date of birth. ","")</f>
        <v/>
      </c>
    </row>
    <row r="4" spans="2:15" x14ac:dyDescent="0.25">
      <c r="B4" s="8" t="s">
        <v>22</v>
      </c>
      <c r="C4" s="17"/>
      <c r="D4" s="43" t="s">
        <v>16</v>
      </c>
      <c r="E4" s="110"/>
      <c r="F4" s="113"/>
      <c r="G4" s="78" t="s">
        <v>24</v>
      </c>
      <c r="H4" s="53" t="e">
        <f ca="1">IF(C31=H30,_xlfn.DAYS(C33,C32),_xlfn.DAYS(C33,H31))</f>
        <v>#VALUE!</v>
      </c>
      <c r="I4" s="111" t="e">
        <f ca="1">ROUND(J4,4)</f>
        <v>#VALUE!</v>
      </c>
      <c r="J4" s="114" t="e">
        <f ca="1">H4/H5</f>
        <v>#VALUE!</v>
      </c>
      <c r="K4" s="7" t="str">
        <f>IF(K2+K3=2," and ","")</f>
        <v/>
      </c>
      <c r="L4" s="7" t="str">
        <f>IF(K2=1,B30,"")</f>
        <v/>
      </c>
    </row>
    <row r="5" spans="2:15" ht="12" customHeight="1" x14ac:dyDescent="0.25">
      <c r="B5" s="8"/>
      <c r="C5" s="88"/>
      <c r="D5" s="49"/>
      <c r="E5" s="110"/>
      <c r="G5" s="78" t="s">
        <v>31</v>
      </c>
      <c r="H5" s="53" t="e">
        <f>_xlfn.DAYS(C33,C30)</f>
        <v>#VALUE!</v>
      </c>
      <c r="I5" s="111" t="e">
        <f ca="1">1-I4</f>
        <v>#VALUE!</v>
      </c>
      <c r="J5" s="121"/>
      <c r="K5" s="7" t="str">
        <f>IF(K3+K2=2,"both the ","")</f>
        <v/>
      </c>
      <c r="L5" s="7" t="str">
        <f>IF(K3=1,"date ceased work","")</f>
        <v/>
      </c>
      <c r="N5" s="53"/>
      <c r="O5" s="53"/>
    </row>
    <row r="6" spans="2:15" ht="19.5" x14ac:dyDescent="0.45">
      <c r="B6" s="82" t="s">
        <v>48</v>
      </c>
      <c r="C6" s="17"/>
      <c r="D6" s="17"/>
      <c r="E6" s="17"/>
      <c r="F6" s="112"/>
      <c r="H6" s="53" t="s">
        <v>15</v>
      </c>
      <c r="J6" s="53">
        <v>1</v>
      </c>
      <c r="K6" s="53" t="s">
        <v>37</v>
      </c>
      <c r="L6" s="53">
        <f>IF(C7="",0,IF(C7=0,0,1))</f>
        <v>1</v>
      </c>
      <c r="M6" s="53" t="s">
        <v>37</v>
      </c>
      <c r="N6" s="7" t="str">
        <f>CHAR(CODE(M6))</f>
        <v>a</v>
      </c>
    </row>
    <row r="7" spans="2:15" x14ac:dyDescent="0.25">
      <c r="B7" s="10" t="s">
        <v>52</v>
      </c>
      <c r="C7" s="127">
        <v>500000</v>
      </c>
      <c r="D7" s="128"/>
      <c r="E7" s="117" t="str">
        <f>IFERROR(IF(C7="","",IF(C7=0,"","("&amp;CHAR(CODE(K39))&amp;")")),"")</f>
        <v>(a)</v>
      </c>
      <c r="F7" s="108"/>
      <c r="G7" s="78"/>
      <c r="H7" s="53" t="s">
        <v>16</v>
      </c>
      <c r="I7" s="53" t="str">
        <f>IF(C7+C8&gt;0,"Yes","")</f>
        <v>Yes</v>
      </c>
      <c r="J7" s="53">
        <v>2</v>
      </c>
      <c r="K7" s="53" t="s">
        <v>38</v>
      </c>
      <c r="L7" s="53">
        <f>IF('Data (Super)'!G2="",0,IF('Data (Super)'!G2=0,0,1))</f>
        <v>1</v>
      </c>
      <c r="M7" s="53" t="s">
        <v>38</v>
      </c>
      <c r="N7" s="7" t="str">
        <f>CHAR(CODE(M7))</f>
        <v>b</v>
      </c>
    </row>
    <row r="8" spans="2:15" x14ac:dyDescent="0.25">
      <c r="B8" s="225" t="s">
        <v>54</v>
      </c>
      <c r="C8" s="125">
        <v>25000</v>
      </c>
      <c r="D8" s="126"/>
      <c r="E8" s="29" t="s">
        <v>4</v>
      </c>
      <c r="F8" s="44">
        <v>65</v>
      </c>
      <c r="G8" s="116" t="str">
        <f>IF(C8="","",IF(C8=0,"",IF(F8&lt;D3,"^^","")))</f>
        <v/>
      </c>
      <c r="H8" s="53">
        <v>0</v>
      </c>
      <c r="I8" s="107">
        <v>5000000</v>
      </c>
      <c r="J8" s="53">
        <v>3</v>
      </c>
      <c r="K8" s="53" t="s">
        <v>39</v>
      </c>
      <c r="L8" s="53">
        <f>IF(C11="",0,IF(C11=0,0,1))</f>
        <v>1</v>
      </c>
      <c r="M8" s="53" t="s">
        <v>39</v>
      </c>
    </row>
    <row r="9" spans="2:15" x14ac:dyDescent="0.25">
      <c r="B9" s="198" t="str">
        <f>IFERROR(IF(C8=0,"",IF(C8=0,"",IF(F8&lt;D3,"^^Please choose an age greater than the current age",IF('Data (Super)'!G2=0,"","(Estimated capital required for "&amp;DOLLAR(C8,0)&amp;" p.a. income "&amp;D14&amp;"x "&amp;F8-D3&amp;B14&amp;"= "&amp;DOLLAR('Data (Super)'!G2,0)&amp;")")))),"")</f>
        <v>(Estimated capital required for $25,000 p.a. income (increasing by 2.5% yearly) x 20 years = $441,218)</v>
      </c>
      <c r="C9" s="199"/>
      <c r="D9" s="199"/>
      <c r="E9" s="118" t="str">
        <f>IFERROR(IF(L$7="","",IF(L$7=0,"",IF(F8&lt;D3,"","("&amp;CHAR(CODE(K40))&amp;")"))),"")</f>
        <v>(b)</v>
      </c>
      <c r="F9" s="108"/>
      <c r="G9" s="78">
        <f>COUNTIF(E7,"")</f>
        <v>0</v>
      </c>
      <c r="H9" s="53">
        <v>41</v>
      </c>
      <c r="I9" s="107">
        <v>4000000</v>
      </c>
      <c r="J9" s="53">
        <v>4</v>
      </c>
      <c r="K9" s="53" t="s">
        <v>40</v>
      </c>
      <c r="L9" s="53">
        <f>IF('Data (Super)'!O2="",0,IF('Data (Super)'!O2=0,0,1))</f>
        <v>1</v>
      </c>
      <c r="M9" s="53" t="s">
        <v>40</v>
      </c>
    </row>
    <row r="10" spans="2:15" x14ac:dyDescent="0.25">
      <c r="B10" s="8"/>
      <c r="C10" s="200"/>
      <c r="D10" s="200"/>
      <c r="E10" s="11"/>
      <c r="F10" s="109"/>
      <c r="G10" s="78">
        <f>COUNTIF(E9,"")</f>
        <v>0</v>
      </c>
      <c r="H10" s="53">
        <v>51</v>
      </c>
      <c r="I10" s="107">
        <v>3000000</v>
      </c>
      <c r="J10" s="53">
        <v>5</v>
      </c>
      <c r="K10" s="53" t="s">
        <v>41</v>
      </c>
      <c r="L10" s="53">
        <f>IF(E25="",0,IF(E25="$0",0,1))</f>
        <v>1</v>
      </c>
      <c r="M10" s="53" t="s">
        <v>41</v>
      </c>
    </row>
    <row r="11" spans="2:15" x14ac:dyDescent="0.25">
      <c r="B11" s="10" t="s">
        <v>5</v>
      </c>
      <c r="C11" s="130">
        <v>150000</v>
      </c>
      <c r="D11" s="131"/>
      <c r="E11" s="142" t="str">
        <f>IFERROR(IF(C11="","",IF(C11=0,"","("&amp;CHAR(CODE(K41))&amp;")")),"")</f>
        <v>(c)</v>
      </c>
      <c r="F11" s="143"/>
      <c r="G11" s="78">
        <f>COUNTIF(E11,"")</f>
        <v>0</v>
      </c>
      <c r="H11" s="53">
        <v>56</v>
      </c>
      <c r="I11" s="107">
        <v>2000000</v>
      </c>
      <c r="J11" s="53">
        <v>6</v>
      </c>
      <c r="K11" s="53" t="s">
        <v>42</v>
      </c>
      <c r="L11" s="53">
        <f>IF(E26="",0,IF(E26="$0",0,IF(E26="",0,1)))</f>
        <v>1</v>
      </c>
      <c r="M11" s="53" t="s">
        <v>42</v>
      </c>
    </row>
    <row r="12" spans="2:15" x14ac:dyDescent="0.25">
      <c r="B12" s="10" t="s">
        <v>55</v>
      </c>
      <c r="C12" s="135">
        <v>50000</v>
      </c>
      <c r="D12" s="136"/>
      <c r="E12" s="29" t="s">
        <v>4</v>
      </c>
      <c r="F12" s="45">
        <v>65</v>
      </c>
      <c r="G12" s="106" t="str">
        <f>IF(F12&gt;65,"*",IF(C12="","",IF(C12=0,"",IF(F12&lt;D3,"^^^",""))))</f>
        <v/>
      </c>
      <c r="H12" s="53">
        <v>65</v>
      </c>
      <c r="J12" s="53">
        <v>7</v>
      </c>
      <c r="K12" s="53" t="s">
        <v>43</v>
      </c>
      <c r="L12" s="53">
        <f>IF(C27="",0,IF(C27=0,0,1))</f>
        <v>1</v>
      </c>
      <c r="M12" s="53" t="s">
        <v>43</v>
      </c>
    </row>
    <row r="13" spans="2:15" x14ac:dyDescent="0.25">
      <c r="B13" s="192" t="str">
        <f>IFERROR(IF(C12=0,"",IF(C12="","",IF(F12&lt;D3,"^^^Please choose an age greater than the current age",IF('Data (Super)'!O2=0,"","(Estimated capital required for "&amp;DOLLAR(C12,0)&amp;" p.a. income "&amp;D14&amp;"x "&amp;F12-D3&amp;C14&amp;"= "&amp;DOLLAR('Data (Super)'!O2,0)&amp;")")))),"")</f>
        <v>(Estimated capital required for $50,000 p.a. income (increasing by 2.5% yearly) x 20 years = $882,436)</v>
      </c>
      <c r="C13" s="193"/>
      <c r="D13" s="194"/>
      <c r="E13" s="142" t="str">
        <f>IFERROR(IF(L$9="","",IF(L$9=0,"",IF(F12&lt;D3,"","("&amp;CHAR(CODE(K42))&amp;")"))),"")</f>
        <v>(d)</v>
      </c>
      <c r="F13" s="143"/>
      <c r="G13" s="101" t="str">
        <f>IF(G12="","","*Continuous Care ends policy anniversary after age 65, so estimated capital required has been limited to "&amp;'Data (Super)'!M2&amp;" "&amp;TRIM(C14)&amp;" (to age 65).")</f>
        <v/>
      </c>
      <c r="H13" s="53">
        <f>IFERROR(IF(C8&gt;0,IF(G12="^^^",1,0)),0)</f>
        <v>0</v>
      </c>
      <c r="J13" s="53">
        <v>8</v>
      </c>
      <c r="K13" s="53" t="s">
        <v>44</v>
      </c>
      <c r="L13" s="53">
        <f>IF(D4="No",0,IF(C37="",0,IF(C37=0,0,1)))</f>
        <v>0</v>
      </c>
      <c r="M13" s="53" t="s">
        <v>44</v>
      </c>
    </row>
    <row r="14" spans="2:15" s="9" customFormat="1" ht="12" customHeight="1" x14ac:dyDescent="0.25">
      <c r="B14" s="102" t="str">
        <f>IF(F8-D3=1," year "," years ")</f>
        <v xml:space="preserve"> years </v>
      </c>
      <c r="C14" s="102" t="str">
        <f>IF(F12-D3=1," year "," years ")</f>
        <v xml:space="preserve"> years </v>
      </c>
      <c r="D14" s="103" t="str">
        <f>IF(D16=0,"","(increasing by "&amp;D16*100&amp;"% yearly) ")</f>
        <v xml:space="preserve">(increasing by 2.5% yearly) </v>
      </c>
      <c r="E14" s="16"/>
      <c r="F14" s="104"/>
      <c r="G14" s="60"/>
      <c r="H14" s="53" t="str">
        <f>IF(D3&gt;65,"0",IF(D3&gt;55,"and over",IF(D3&gt;50,"to 55",IF(D3&gt;40,"to 50","0"))))</f>
        <v>to 50</v>
      </c>
      <c r="I14" s="53"/>
      <c r="J14" s="53">
        <v>9</v>
      </c>
      <c r="K14" s="53" t="s">
        <v>45</v>
      </c>
      <c r="L14" s="7">
        <f>IF(D4="No",0,IF(C38="",0,IF(C38=0,0,1)))</f>
        <v>0</v>
      </c>
      <c r="M14" s="53" t="s">
        <v>45</v>
      </c>
    </row>
    <row r="15" spans="2:15" s="9" customFormat="1" ht="19.5" x14ac:dyDescent="0.45">
      <c r="B15" s="82" t="s">
        <v>34</v>
      </c>
      <c r="C15" s="102"/>
      <c r="D15" s="105"/>
      <c r="E15" s="102"/>
      <c r="F15" s="104"/>
      <c r="G15" s="78"/>
      <c r="H15" s="53"/>
      <c r="I15" s="53"/>
      <c r="J15" s="53">
        <v>10</v>
      </c>
      <c r="K15" s="7" t="s">
        <v>49</v>
      </c>
      <c r="L15" s="7">
        <f>IF(C43="",0,IF(C43=0,0,1))</f>
        <v>0</v>
      </c>
      <c r="M15" s="53" t="s">
        <v>49</v>
      </c>
    </row>
    <row r="16" spans="2:15" x14ac:dyDescent="0.25">
      <c r="B16" s="8" t="s">
        <v>7</v>
      </c>
      <c r="C16" s="10"/>
      <c r="D16" s="24">
        <v>2.5000000000000001E-2</v>
      </c>
      <c r="E16" s="11"/>
      <c r="G16" s="78">
        <f>VLOOKUP(D3,H8:I12,2,TRUE)</f>
        <v>4000000</v>
      </c>
      <c r="H16" s="53" t="str">
        <f>IF(G16&lt;5000000," (for those aged "&amp;VLOOKUP(D3,H8:H12,1,TRUE)&amp;" "&amp;H14&amp;"). ",". ")</f>
        <v xml:space="preserve"> (for those aged 41 to 50). </v>
      </c>
      <c r="J16" s="53">
        <v>11</v>
      </c>
      <c r="K16" s="7" t="s">
        <v>50</v>
      </c>
      <c r="L16" s="7">
        <f>IF(E45="",0,IF(E45=0,0,1))</f>
        <v>0</v>
      </c>
      <c r="M16" s="53" t="s">
        <v>50</v>
      </c>
    </row>
    <row r="17" spans="1:12" x14ac:dyDescent="0.25">
      <c r="B17" s="8" t="s">
        <v>8</v>
      </c>
      <c r="C17" s="10"/>
      <c r="D17" s="24">
        <v>3.5000000000000003E-2</v>
      </c>
      <c r="E17" s="11"/>
      <c r="G17" s="78" t="b">
        <f>IF(G23&gt;5000000,IF(C21&gt;3000000,5000000-3000000-C22,""))</f>
        <v>0</v>
      </c>
    </row>
    <row r="18" spans="1:12" x14ac:dyDescent="0.25">
      <c r="B18" s="8" t="s">
        <v>51</v>
      </c>
      <c r="C18" s="10"/>
      <c r="D18" s="24">
        <v>0.22</v>
      </c>
      <c r="E18"/>
      <c r="G18" s="78" t="str">
        <f>IF(C21&gt;3000000,"1","0")</f>
        <v>0</v>
      </c>
      <c r="H18" s="53" t="str">
        <f>IF(C22&gt;G16,"1","0")</f>
        <v>0</v>
      </c>
      <c r="I18" s="53" t="str">
        <f>IF(C22&gt;3000000,"1","0")</f>
        <v>0</v>
      </c>
      <c r="J18" s="53">
        <f>IF(C8=0,0,IF(C8="",0,1))</f>
        <v>1</v>
      </c>
      <c r="K18" s="53">
        <f>IF(C7=0,0,IF(C7="",0,1))</f>
        <v>1</v>
      </c>
    </row>
    <row r="19" spans="1:12" ht="12" customHeight="1" x14ac:dyDescent="0.25">
      <c r="B19" s="87"/>
      <c r="C19" s="88"/>
      <c r="D19" s="89"/>
      <c r="E19" s="8"/>
      <c r="F19" s="90"/>
      <c r="G19" s="91">
        <f>IF(C23&gt;5000000,CEILING(C23-5000000+I26,1000),CEILING(C21-3000000,1000))</f>
        <v>-2058000</v>
      </c>
      <c r="H19" s="92">
        <f>IF(C23&gt;G16,CEILING(C23-G16+I26,1000),CEILING(C21-3000000,1000))</f>
        <v>-2058000</v>
      </c>
      <c r="I19" s="53" t="str">
        <f>IF(G16=5000000,"1","0")</f>
        <v>0</v>
      </c>
      <c r="J19" s="53">
        <f>IF(C12=0,0,IF(C12="",0,1))</f>
        <v>1</v>
      </c>
      <c r="K19" s="53">
        <f>IF(C11=0,0,IF(C11="",0,1))</f>
        <v>1</v>
      </c>
    </row>
    <row r="20" spans="1:12" ht="19.5" x14ac:dyDescent="0.45">
      <c r="A20" s="93"/>
      <c r="B20" s="82" t="s">
        <v>35</v>
      </c>
      <c r="C20" s="90"/>
      <c r="D20" s="93"/>
      <c r="E20" s="93"/>
      <c r="F20" s="93"/>
      <c r="G20" s="52" t="str">
        <f>IF(G18+H18=2,"$5,000,000***",IF(C22&gt;G16,CEILING(G16+I25,1000),"$5,000,000***"))</f>
        <v>$5,000,000***</v>
      </c>
      <c r="H20" s="92" t="str">
        <f>IF(G20="$5,000,000***","0",IF(I26&gt;G16,"1","0"))</f>
        <v>0</v>
      </c>
      <c r="I20" s="53" t="str">
        <f>IF(C22&gt;G16,"1","0")</f>
        <v>0</v>
      </c>
    </row>
    <row r="21" spans="1:12" x14ac:dyDescent="0.25">
      <c r="A21" s="13"/>
      <c r="B21" s="20" t="str">
        <f>"Total capital required via working TPD "&amp;E7&amp;E9</f>
        <v>Total capital required via working TPD (a)(b)</v>
      </c>
      <c r="C21" s="195">
        <f>CEILING(I25,1)</f>
        <v>941219</v>
      </c>
      <c r="D21" s="196"/>
      <c r="E21" s="196"/>
      <c r="F21" s="197"/>
      <c r="G21" s="96" t="str">
        <f>IF(C8="","",IF(C8=0,"",IF(C7=0,"",IF(F8&lt;D3,"^^",""))))</f>
        <v/>
      </c>
      <c r="H21" s="94">
        <f>IFERROR(ROUNDDOWN(5000000-E25,1000),2000000)</f>
        <v>4058000</v>
      </c>
      <c r="I21" s="95">
        <f>CEILING(G19+C22,1000)</f>
        <v>-1025000</v>
      </c>
      <c r="L21" s="9"/>
    </row>
    <row r="22" spans="1:12" s="9" customFormat="1" x14ac:dyDescent="0.25">
      <c r="A22" s="13"/>
      <c r="B22" s="20" t="str">
        <f>"Total capital required via Continuous Care "&amp;E11&amp;E13</f>
        <v>Total capital required via Continuous Care (c)(d)</v>
      </c>
      <c r="C22" s="179">
        <f>CEILING(I26,1)</f>
        <v>1032437</v>
      </c>
      <c r="D22" s="180"/>
      <c r="E22" s="180"/>
      <c r="F22" s="181"/>
      <c r="G22" s="96" t="str">
        <f>IF(C12="","",IF(C12=0,"",IF(C11=0,"",IF(F12&lt;D3,"^^^",""))))</f>
        <v/>
      </c>
      <c r="H22" s="97">
        <f>IF(D3&lt;41,ROUNDDOWN(5000000-C21,1000),ROUNDDOWN(VLOOKUP(D3,H8:I12,2,TRUE)-C21,1000))</f>
        <v>3058781</v>
      </c>
      <c r="I22" s="95">
        <f>ROUNDDOWN(5000000-C21,1000)</f>
        <v>4058781</v>
      </c>
    </row>
    <row r="23" spans="1:12" s="9" customFormat="1" x14ac:dyDescent="0.25">
      <c r="A23" s="13"/>
      <c r="B23" s="20" t="str">
        <f>"Total capital required "&amp;E7&amp;E9&amp;E11&amp;E13</f>
        <v>Total capital required (a)(b)(c)(d)</v>
      </c>
      <c r="C23" s="179">
        <f>CEILING(G23,1)</f>
        <v>1973655</v>
      </c>
      <c r="D23" s="180"/>
      <c r="E23" s="180"/>
      <c r="F23" s="181"/>
      <c r="G23" s="52">
        <f>'Data (Super)'!G2+C7+C11+'Data (Super)'!O2</f>
        <v>1973654.595808865</v>
      </c>
      <c r="H23" s="53"/>
      <c r="I23" s="53"/>
      <c r="L23" s="7"/>
    </row>
    <row r="24" spans="1:12" s="9" customFormat="1" x14ac:dyDescent="0.25">
      <c r="A24" s="13"/>
      <c r="B24" s="18"/>
      <c r="C24" s="98"/>
      <c r="D24" s="98"/>
      <c r="E24" s="98"/>
      <c r="F24" s="99"/>
      <c r="G24" s="52"/>
      <c r="H24" s="53"/>
      <c r="I24" s="53"/>
      <c r="L24" s="7"/>
    </row>
    <row r="25" spans="1:12" s="9" customFormat="1" x14ac:dyDescent="0.25">
      <c r="A25" s="7"/>
      <c r="B25" s="167" t="str">
        <f>IF(E47=0,"No working TPD sum insured required","Working TPD sum insured needed "&amp;E7&amp;E9&amp;J25)</f>
        <v>Working TPD sum insured needed (a)(b) (rounded to nearest $1,000)</v>
      </c>
      <c r="C25" s="161"/>
      <c r="D25" s="168"/>
      <c r="E25" s="153">
        <f>IF(I25=0,"$0",IF(I25&gt;3000000,DOLLAR(CEILING(I25,1000),0)&amp;"*",CEILING(I25,1000)))</f>
        <v>942000</v>
      </c>
      <c r="F25" s="153"/>
      <c r="G25" s="119" t="str">
        <f>IFERROR(IF(L$10="","",IF(L$10=0,"",IF(C7=E47,E7,"("&amp;CHAR(CODE(K43))&amp;")"))),"")</f>
        <v>(e)</v>
      </c>
      <c r="H25" s="53"/>
      <c r="I25" s="100">
        <f>IF(F8&lt;D3,C7,C7+'Data (Super)'!G2)</f>
        <v>941218.19860295509</v>
      </c>
      <c r="J25" s="53" t="str">
        <f>IF(I25=E47,""," (rounded to nearest $1,000)")</f>
        <v xml:space="preserve"> (rounded to nearest $1,000)</v>
      </c>
    </row>
    <row r="26" spans="1:12" s="9" customFormat="1" x14ac:dyDescent="0.25">
      <c r="A26" s="7"/>
      <c r="B26" s="166" t="str">
        <f>IF(F47=0,"No Continuous Care sum insured required","Continuous Care sum insured needed "&amp;E11&amp;E13&amp;J26)</f>
        <v>Continuous Care sum insured needed (c)(d) (rounded to nearest $1,000)</v>
      </c>
      <c r="C26" s="162"/>
      <c r="D26" s="162"/>
      <c r="E26" s="154">
        <f>IF(I26=0,"$0",IF(H26&lt;250000,DOLLAR(F47,0)&amp;"**",IF(G18+H18=2,DOLLAR(F47,0)&amp;"**",IF(H20="1",DOLLAR(F47,0)&amp;"**",IF(C22&gt;G16,DOLLAR(G16,0)&amp;"**",IF(C22&gt;G16,DOLLAR(G16,0)&amp;"**",CEILING(I26,1000)))))))</f>
        <v>1033000</v>
      </c>
      <c r="F26" s="155"/>
      <c r="G26" s="119" t="str">
        <f>IFERROR(IF(L$11="","",IF(L$11=0,"",IF(F47=C11,E11,"("&amp;CHAR(CODE(K44))&amp;")"))),"")</f>
        <v>(f)</v>
      </c>
      <c r="H26" s="97">
        <f>IFERROR(CEILING(I26,1000),0)</f>
        <v>1033000</v>
      </c>
      <c r="I26" s="100">
        <f>IF(F12&lt;D3,C11,C11+'Data (Super)'!O2)</f>
        <v>1032436.3972059101</v>
      </c>
      <c r="J26" s="53" t="str">
        <f>IF(I26=H26,""," (rounded to nearest $1,000)")</f>
        <v xml:space="preserve"> (rounded to nearest $1,000)</v>
      </c>
      <c r="K26" s="53" t="str">
        <f>IF(C12=0,E11,IF(C12="",E11,E13))</f>
        <v>(d)</v>
      </c>
    </row>
    <row r="27" spans="1:12" s="9" customFormat="1" x14ac:dyDescent="0.25">
      <c r="A27" s="13"/>
      <c r="B27" s="14" t="str">
        <f>"Total TPD sum insured needed "&amp;IF(C47=I25,"",IF(I26=C47,"",G25&amp;G26))</f>
        <v>Total TPD sum insured needed (e)(f)</v>
      </c>
      <c r="C27" s="156">
        <f>IF(H20="1",DOLLAR(C47,0)&amp;"***",IF(C47&gt;5000000,DOLLAR(C47,0)&amp;"***",IF(C47=0,"$0",IF(C47&lt;50000,DOLLAR(C47,0)&amp;"***",IF(C22&gt;G16,DOLLAR(G16+CEILING(I25,1000),0),C47)))))</f>
        <v>1975000</v>
      </c>
      <c r="D27" s="157"/>
      <c r="E27" s="157"/>
      <c r="F27" s="158"/>
      <c r="G27" s="119" t="str">
        <f>IFERROR(IF(C47=0,"",IF(C47=I25,G25,IF(I26=C47,G26,IF(L$12="","",IF(L$12=0,"",IF(C47=CEILING(I25,1000),"",IF(C47=CEILING(I26,1000),"",IF(C8+C12=0,"("&amp;CHAR(CODE(K43))&amp;")",IF(K18+K19=2,"("&amp;CHAR(CODE(K45))&amp;")",IF(G8="^^","("&amp;CHAR(CODE(K43))&amp;")",IF(H13=1,"("&amp;CHAR(CODE(K45))&amp;")",IF(G12="^^^","("&amp;CHAR(CODE(K43))&amp;")","("&amp;CHAR(CODE(K45))&amp;")")))))))))))),"")</f>
        <v>(g)</v>
      </c>
      <c r="H27" s="53"/>
      <c r="I27" s="53"/>
    </row>
    <row r="28" spans="1:12" s="9" customFormat="1" x14ac:dyDescent="0.25">
      <c r="A28" s="13"/>
      <c r="B28" s="77"/>
      <c r="C28" s="216">
        <f>IF(C47&gt;5000000,"5000000",IF(C21&gt;3000000,DOLLAR(3000000+I21,0),IF(C22&gt;G16,DOLLAR(G16+I25,0),C47)))</f>
        <v>1975000</v>
      </c>
      <c r="D28" s="217"/>
      <c r="E28" s="217"/>
      <c r="F28" s="218"/>
      <c r="G28" s="78" t="str">
        <f>IF(D3&gt;60,"^Maximum entry age for Continuous Care is age 60. ",IF(D3&lt;15,"^Minimum entry age for Continuous Care is age 15. ",""))</f>
        <v/>
      </c>
      <c r="H28" s="53">
        <f>IF(H37=0,0,IF(H38=0,2,1))</f>
        <v>0</v>
      </c>
      <c r="I28" s="53"/>
    </row>
    <row r="29" spans="1:12" x14ac:dyDescent="0.25">
      <c r="B29" s="10" t="str">
        <f>IF(D$4="Yes","*Date of birth (Super tax calculation only)","")</f>
        <v/>
      </c>
      <c r="C29" s="169">
        <v>29312</v>
      </c>
      <c r="D29" s="170"/>
      <c r="E29" s="42"/>
      <c r="G29" s="78"/>
      <c r="H29" s="53" t="s">
        <v>46</v>
      </c>
    </row>
    <row r="30" spans="1:12" x14ac:dyDescent="0.25">
      <c r="B30" s="10" t="str">
        <f>IF(D$4="Yes","Eligible Service Date (ESD)","To estimate the TPD super tax payable, please change")</f>
        <v>To estimate the TPD super tax payable, please change</v>
      </c>
      <c r="C30" s="169">
        <v>36617</v>
      </c>
      <c r="D30" s="170"/>
      <c r="E30" s="83" t="str">
        <f>IF(J3&lt;$J$2,"^^","")</f>
        <v/>
      </c>
      <c r="G30" s="78"/>
      <c r="H30" s="53" t="s">
        <v>47</v>
      </c>
    </row>
    <row r="31" spans="1:12" x14ac:dyDescent="0.25">
      <c r="B31" s="10" t="str">
        <f>IF(D$4="Yes","Date ceased work (Select Today or choose a different date)","the 'TPD cover via super' answer above to 'Yes'")</f>
        <v>the 'TPD cover via super' answer above to 'Yes'</v>
      </c>
      <c r="C31" s="169" t="s">
        <v>46</v>
      </c>
      <c r="D31" s="170"/>
      <c r="E31" s="42"/>
      <c r="G31" s="78"/>
      <c r="H31" s="85">
        <f ca="1">TODAY()</f>
        <v>45555</v>
      </c>
      <c r="I31" s="86">
        <f>C32</f>
        <v>45911</v>
      </c>
    </row>
    <row r="32" spans="1:12" x14ac:dyDescent="0.25">
      <c r="B32" s="84" t="str">
        <f>IF(D4="No","","(Current selection is "&amp;IF(C31="Today","today: "&amp;H34&amp;"/"&amp;H33&amp;"/"&amp;H32&amp;")","the date: "&amp;I34&amp;"/"&amp;I33&amp;"/"&amp;I32&amp;")"))</f>
        <v/>
      </c>
      <c r="C32" s="188">
        <v>45911</v>
      </c>
      <c r="D32" s="189"/>
      <c r="E32" s="83" t="str">
        <f>IF(D4="No","",IF(C31="Today","",IF(I2&lt;$J$2,"^^","")))</f>
        <v/>
      </c>
      <c r="G32" s="78"/>
      <c r="H32" s="53">
        <f ca="1">YEAR(H31)</f>
        <v>2024</v>
      </c>
      <c r="I32" s="53">
        <f>YEAR(I31)</f>
        <v>2025</v>
      </c>
    </row>
    <row r="33" spans="1:11" x14ac:dyDescent="0.25">
      <c r="B33" s="10" t="str">
        <f>IF(D$4="Yes","Date turning 65","")</f>
        <v/>
      </c>
      <c r="C33" s="190" t="str">
        <f>IF(D4="Yes",EDATE(C29,65*12),"")</f>
        <v/>
      </c>
      <c r="D33" s="191"/>
      <c r="E33" s="42"/>
      <c r="G33" s="78"/>
      <c r="H33" s="53">
        <f ca="1">MONTH(H31)</f>
        <v>9</v>
      </c>
      <c r="I33" s="53">
        <f>MONTH(I31)</f>
        <v>9</v>
      </c>
    </row>
    <row r="34" spans="1:11" x14ac:dyDescent="0.25">
      <c r="B34" s="140" t="str">
        <f ca="1">IFERROR(IF(K2+K3=0,B35,"^^Please select a date that is after the client's"&amp;L2),"")</f>
        <v/>
      </c>
      <c r="C34" s="141"/>
      <c r="D34" s="141"/>
      <c r="E34" s="79"/>
      <c r="F34" s="80"/>
      <c r="G34" s="78"/>
      <c r="H34" s="53">
        <f ca="1">DAY(H31)</f>
        <v>20</v>
      </c>
      <c r="I34" s="53">
        <f>DAY(I31)</f>
        <v>11</v>
      </c>
    </row>
    <row r="35" spans="1:11" ht="9.6" customHeight="1" x14ac:dyDescent="0.25">
      <c r="B35" s="81" t="str">
        <f ca="1">IFERROR("(Estimated Eligible Service Period = "&amp;TEXT(H5,"#,###")&amp;" days. Estimated Future Service Period = "&amp;TEXT(H4,"#,###")&amp;" days)","")</f>
        <v/>
      </c>
      <c r="C35" s="47"/>
      <c r="D35" s="47"/>
      <c r="E35" s="48"/>
      <c r="F35" s="47"/>
      <c r="G35" s="81"/>
    </row>
    <row r="36" spans="1:11" s="9" customFormat="1" ht="19.5" x14ac:dyDescent="0.45">
      <c r="A36" s="13"/>
      <c r="B36" s="82" t="s">
        <v>36</v>
      </c>
      <c r="C36" s="46"/>
      <c r="D36" s="46"/>
      <c r="E36" s="46"/>
      <c r="F36" s="46"/>
      <c r="G36" s="78"/>
      <c r="H36" s="53" t="str">
        <f>IF(D4="Yes","",IF(H37+H38=0,""," (excludes lump sum super, as TPD held outside super) "))</f>
        <v/>
      </c>
      <c r="I36" s="53"/>
    </row>
    <row r="37" spans="1:11" s="9" customFormat="1" x14ac:dyDescent="0.25">
      <c r="A37" s="13"/>
      <c r="B37" s="77" t="s">
        <v>21</v>
      </c>
      <c r="C37" s="182">
        <v>0</v>
      </c>
      <c r="D37" s="183"/>
      <c r="E37" s="183"/>
      <c r="F37" s="184"/>
      <c r="G37" s="120" t="str">
        <f>IFERROR(IF(L$13="","",IF(L$13=0,"",IF(G27="(c)","("&amp;CHAR(CODE(K45))&amp;")","("&amp;CHAR(CODE(K47))&amp;")"))),"")</f>
        <v/>
      </c>
      <c r="H37" s="53">
        <f>IF(C37="",0,IF(C37=0,0,1))</f>
        <v>0</v>
      </c>
      <c r="I37" s="53"/>
    </row>
    <row r="38" spans="1:11" s="9" customFormat="1" x14ac:dyDescent="0.25">
      <c r="A38" s="13"/>
      <c r="B38" s="77" t="s">
        <v>20</v>
      </c>
      <c r="C38" s="182">
        <v>0</v>
      </c>
      <c r="D38" s="183"/>
      <c r="E38" s="183"/>
      <c r="F38" s="184"/>
      <c r="G38" s="120" t="str">
        <f>IFERROR(IF(L$14="","",IF(L$14=0,"",IF(G37="(d)","(e)",IF(G27="(c)","(d)","("&amp;CHAR(CODE(K48))&amp;")")))),"")</f>
        <v/>
      </c>
      <c r="H38" s="53">
        <f>IF(C38="",0,IF(C38=0,0,1))</f>
        <v>0</v>
      </c>
      <c r="I38" s="53"/>
    </row>
    <row r="39" spans="1:11" s="9" customFormat="1" x14ac:dyDescent="0.25">
      <c r="A39" s="13"/>
      <c r="B39" s="49"/>
      <c r="C39" s="50"/>
      <c r="D39" s="50"/>
      <c r="E39" s="50"/>
      <c r="F39" s="51"/>
      <c r="G39" s="52"/>
      <c r="H39" s="53" t="str">
        <f>IF(G21="","",IF(C21=0,"","^^Working TPD capital required excludes income requirement as the entered age is less than the current age. "))</f>
        <v/>
      </c>
      <c r="I39" s="53"/>
      <c r="J39" s="7">
        <f>L6</f>
        <v>1</v>
      </c>
      <c r="K39" s="7" t="str">
        <f>VLOOKUP(J39,J$6:K$16,2,FALSE)</f>
        <v>a</v>
      </c>
    </row>
    <row r="40" spans="1:11" s="9" customFormat="1" x14ac:dyDescent="0.25">
      <c r="A40" s="13"/>
      <c r="B40" s="49" t="s">
        <v>19</v>
      </c>
      <c r="C40" s="185" t="str">
        <f>IFERROR(IF(D4="No","",IF(K2+K3=0,G40,"^^Amend date error above")),"")</f>
        <v/>
      </c>
      <c r="D40" s="186"/>
      <c r="E40" s="186"/>
      <c r="F40" s="187"/>
      <c r="G40" s="52" t="e">
        <f ca="1">IF(C37+((C47+C37+C38)*I4)&gt;(C47+C37+C38),C47+C37+C38,C37+((C47+C37+C38)*I4))</f>
        <v>#VALUE!</v>
      </c>
      <c r="H40" s="53" t="str">
        <f>IF(G22="","",IF(C22=0,"","^^^Continuous Care capital required excludes income requirement as the entered age is less than the current age. "))</f>
        <v/>
      </c>
      <c r="I40" s="53"/>
      <c r="J40" s="7">
        <f>L6+L7</f>
        <v>2</v>
      </c>
      <c r="K40" s="7" t="str">
        <f t="shared" ref="K40:K43" si="0">VLOOKUP(J40,J$6:K$16,2,FALSE)</f>
        <v>b</v>
      </c>
    </row>
    <row r="41" spans="1:11" s="9" customFormat="1" x14ac:dyDescent="0.25">
      <c r="A41" s="13"/>
      <c r="B41" s="49" t="s">
        <v>17</v>
      </c>
      <c r="C41" s="185" t="str">
        <f>IFERROR(IF(D4="Yes",C47-C40+C38+C37,C37+C38-C40),"")</f>
        <v/>
      </c>
      <c r="D41" s="186"/>
      <c r="E41" s="186"/>
      <c r="F41" s="187"/>
      <c r="G41" s="52"/>
      <c r="H41" s="53"/>
      <c r="I41" s="53"/>
      <c r="J41" s="7">
        <f>L6+L7+L8</f>
        <v>3</v>
      </c>
      <c r="K41" s="7" t="str">
        <f>VLOOKUP(J41,J$6:K$16,2,FALSE)</f>
        <v>c</v>
      </c>
    </row>
    <row r="42" spans="1:11" s="9" customFormat="1" x14ac:dyDescent="0.25">
      <c r="A42" s="13"/>
      <c r="B42" s="49"/>
      <c r="C42" s="54"/>
      <c r="D42" s="55"/>
      <c r="E42" s="55"/>
      <c r="F42" s="56"/>
      <c r="G42" s="52"/>
      <c r="H42" s="53"/>
      <c r="I42" s="53"/>
      <c r="J42" s="7">
        <f>L6+L7+L8+L9</f>
        <v>4</v>
      </c>
      <c r="K42" s="7" t="str">
        <f t="shared" si="0"/>
        <v>d</v>
      </c>
    </row>
    <row r="43" spans="1:11" s="9" customFormat="1" x14ac:dyDescent="0.25">
      <c r="A43" s="13"/>
      <c r="B43" s="49" t="str">
        <f>"Tax estimate on taxable component ("&amp;ROUND(D18*100,1)&amp;"%)"</f>
        <v>Tax estimate on taxable component (22%)</v>
      </c>
      <c r="C43" s="179" t="str">
        <f>IFERROR(-C41*D18,"")</f>
        <v/>
      </c>
      <c r="D43" s="180"/>
      <c r="E43" s="180"/>
      <c r="F43" s="181"/>
      <c r="G43" s="120" t="str">
        <f>IFERROR(IF(L$15="","",IF(L$15=0,"",IF(G38="(e)","(f)",IF(G38="(d)","(e)",IF(G38="(d)","(c)",IF(G27="(c)","(d)","("&amp;CHAR(CODE(K49))&amp;")")))))),"")</f>
        <v/>
      </c>
      <c r="H43" s="53"/>
      <c r="I43" s="53"/>
      <c r="J43" s="7">
        <f>L6+L7+L8+L9+L10</f>
        <v>5</v>
      </c>
      <c r="K43" s="7" t="str">
        <f t="shared" si="0"/>
        <v>e</v>
      </c>
    </row>
    <row r="44" spans="1:11" s="9" customFormat="1" x14ac:dyDescent="0.25">
      <c r="A44" s="13"/>
      <c r="B44" s="49"/>
      <c r="C44" s="57"/>
      <c r="D44" s="50"/>
      <c r="E44" s="50"/>
      <c r="F44" s="58"/>
      <c r="G44" s="52" t="str">
        <f>IF(C43="","",IF(C43=0,"","Taxation amounts, including net calculation "&amp;G45&amp;", are estimates and should only be used as a guide (please seek your own specialist tax advice). "))</f>
        <v/>
      </c>
      <c r="H44" s="53"/>
      <c r="I44" s="53"/>
      <c r="J44" s="7">
        <f>L6+L7+L8+L9+L10+L11</f>
        <v>6</v>
      </c>
      <c r="K44" s="7" t="str">
        <f>IF($F$47=$C$11,VLOOKUP(J43,J$6:K$16,2,FALSE),IF(K$18+K$19=2,VLOOKUP(J44,J$6:K$16,2,FALSE),IF(J$18+J$19=0,VLOOKUP(J44,J6:K16,2,FALSE),VLOOKUP(J44,J$6:K$16,2,FALSE))))</f>
        <v>f</v>
      </c>
    </row>
    <row r="45" spans="1:11" s="9" customFormat="1" x14ac:dyDescent="0.25">
      <c r="A45" s="13"/>
      <c r="B45" s="174" t="str">
        <f>IF(D4="No","","Net TPD benefit "&amp;G27&amp;G37&amp;G38&amp;IF(G43="",""," less "&amp;G43)&amp;H36)</f>
        <v/>
      </c>
      <c r="C45" s="175"/>
      <c r="D45" s="176"/>
      <c r="E45" s="173" t="str">
        <f>IF(D4="No","",IF(K3+K2&gt;0,DOLLAR(C47,0),C47+C43+C37+C38))</f>
        <v/>
      </c>
      <c r="F45" s="173"/>
      <c r="G45" s="120" t="str">
        <f>IFERROR(IF(L$15="","",IF(L$15=0,"",IF(G43="(f)","(g)",IF(G43="(e)","(f)",IF(G43="(d)","(e)",IF(G43="(d)","(c)",IF(G27="(c)","(d)","("&amp;CHAR(CODE(K50))&amp;")"))))))),"")</f>
        <v/>
      </c>
      <c r="H45" s="53"/>
      <c r="I45" s="53"/>
      <c r="J45" s="7">
        <f>L6+L7+L8+L9+L10+L11+L12</f>
        <v>7</v>
      </c>
      <c r="K45" s="7" t="str">
        <f>IF($F$47=$C$11,VLOOKUP(J44,J$6:K$16,2,FALSE),IF(K$18+K$19=2,VLOOKUP(J45,J$6:K$16,2,FALSE),IF(J$18+J$19=0,VLOOKUP(J43,J$6:K$16,2,FALSE),VLOOKUP(J45,J$6:K$16,2,FALSE))))</f>
        <v>g</v>
      </c>
    </row>
    <row r="46" spans="1:11" s="9" customFormat="1" x14ac:dyDescent="0.25">
      <c r="A46" s="13"/>
      <c r="B46" s="122"/>
      <c r="C46" s="122"/>
      <c r="D46" s="122"/>
      <c r="E46" s="123"/>
      <c r="F46" s="123"/>
      <c r="G46" s="120"/>
      <c r="H46" s="53"/>
      <c r="I46" s="53"/>
      <c r="J46" s="7"/>
      <c r="K46" s="7"/>
    </row>
    <row r="47" spans="1:11" s="9" customFormat="1" ht="15" customHeight="1" x14ac:dyDescent="0.25">
      <c r="A47" s="7"/>
      <c r="B47" s="124" t="str">
        <f>IF(B48="","","Important information:")</f>
        <v>Important information:</v>
      </c>
      <c r="C47" s="177">
        <f>(CEILING(E47+F47,1000))</f>
        <v>1975000</v>
      </c>
      <c r="D47" s="178"/>
      <c r="E47" s="38">
        <f>(CEILING(I25,1000))</f>
        <v>942000</v>
      </c>
      <c r="F47" s="59">
        <f>(CEILING(I26,1000))</f>
        <v>1033000</v>
      </c>
      <c r="G47" s="60" t="str">
        <f>IF(I25&gt;3000000,"*Working TPD sums insured over $3 million may be limited or subject to additional underwriting. ","")</f>
        <v/>
      </c>
      <c r="H47" s="53"/>
      <c r="I47" s="53"/>
      <c r="J47" s="7">
        <f>L6+L7+L8+L9+L10+L11+L12+L13</f>
        <v>7</v>
      </c>
      <c r="K47" s="7" t="str">
        <f>IF($F$47=$C$11,VLOOKUP(J45,J$6:K$16,2,FALSE),IF(K$18+K$19=2,VLOOKUP(J47,J$6:K$16,2,FALSE),IF(J$18+J$19=0,VLOOKUP(J44,J$6:K$16,2,FALSE),VLOOKUP(J47,J$6:K$16,2,FALSE))))</f>
        <v>g</v>
      </c>
    </row>
    <row r="48" spans="1:11" s="9" customFormat="1" ht="120" customHeight="1" x14ac:dyDescent="0.25">
      <c r="A48" s="7"/>
      <c r="B48" s="226" t="str">
        <f>H39&amp;H40&amp;L3&amp;G44&amp;G28&amp;G57&amp;G13&amp;G47&amp;G52&amp;G59&amp;G48&amp;G51&amp;G49&amp;G56&amp;G50&amp;G53</f>
        <v>(Note: Working TPD events refer to those typically insured through Own or Any Occupation TPD. Rare TPD events refer to those less common TPD events that can now be insured via Continuous Care.)</v>
      </c>
      <c r="C48" s="227"/>
      <c r="D48" s="227"/>
      <c r="E48" s="227"/>
      <c r="F48" s="228"/>
      <c r="G48" s="60" t="str">
        <f>IF(C47=0,"",IF(C47&lt;50000,"***The total TPD sum insured required may be lower than the product's minimum TPD sum insured. ",IF(C28="5000000","***The combined TPD sum insured required may exceed the product's maximum TPD sum insured available. ",IF(H20=1,"***The combined TPD sum insured required may exceed the product's maximum TPD sum insured available. ",""))))</f>
        <v/>
      </c>
      <c r="H48" s="53"/>
      <c r="I48" s="53"/>
      <c r="J48" s="7">
        <f>L6+L7+L8+L9+L10+L11+L12+L13+L14</f>
        <v>7</v>
      </c>
      <c r="K48" s="7" t="str">
        <f>IF($F$47=$C$11,VLOOKUP(J47,J$6:K$16,2,FALSE),IF(K$18+K$19=2,VLOOKUP(J48,J$6:K$16,2,FALSE),IF(J$18+J$19=0,VLOOKUP(J45,J$6:K$16,2,FALSE),VLOOKUP(J48,J$6:K$16,2,FALSE))))</f>
        <v>g</v>
      </c>
    </row>
    <row r="49" spans="1:11" s="64" customFormat="1" ht="191.25" customHeight="1" x14ac:dyDescent="0.25">
      <c r="A49" s="61"/>
      <c r="B49" s="222" t="s">
        <v>53</v>
      </c>
      <c r="C49" s="223"/>
      <c r="D49" s="223"/>
      <c r="E49" s="223"/>
      <c r="F49" s="224"/>
      <c r="G49" s="62" t="str">
        <f>IF(C21=0,"","Working TPD events refer to those typically insured through Own or Any Occupation TPD.")</f>
        <v>Working TPD events refer to those typically insured through Own or Any Occupation TPD.</v>
      </c>
      <c r="H49" s="63"/>
      <c r="I49" s="63"/>
      <c r="J49" s="7">
        <f>L6+L7+L8+L9+L10+L11+L12+L13+L14+L15</f>
        <v>7</v>
      </c>
      <c r="K49" s="7" t="str">
        <f>IF($F$47=$C$11,VLOOKUP(J48,J$6:K$16,2,FALSE),IF(K$18+K$19=2,VLOOKUP(J49,J$6:K$16,2,FALSE),IF(J$18+J$19=0,VLOOKUP(J47,J$6:K$16,2,FALSE),VLOOKUP(J49,J$6:K$16,2,FALSE))))</f>
        <v>g</v>
      </c>
    </row>
    <row r="50" spans="1:11" s="64" customFormat="1" hidden="1" x14ac:dyDescent="0.25">
      <c r="A50" s="61"/>
      <c r="B50" s="219" t="str">
        <f>IF(D4="No","Change 'TPD cover via super' above to 'Yes' to clear Value errors below","")</f>
        <v>Change 'TPD cover via super' above to 'Yes' to clear Value errors below</v>
      </c>
      <c r="C50" s="220"/>
      <c r="D50" s="220"/>
      <c r="E50" s="220"/>
      <c r="F50" s="221"/>
      <c r="G50" s="62" t="str">
        <f>IF(C22=0,"","Rare TPD events refer to those less common TPD events that can now be insured via Continuous Care.")</f>
        <v>Rare TPD events refer to those less common TPD events that can now be insured via Continuous Care.</v>
      </c>
      <c r="H50" s="63"/>
      <c r="I50" s="63"/>
      <c r="J50" s="7">
        <f>L6+L7+L8+L9+L10+L11+L12+L13+L14+L15+L16</f>
        <v>7</v>
      </c>
      <c r="K50" s="7" t="str">
        <f>IF($F$47=$C$11,VLOOKUP(J49,J$6:K$16,2,FALSE),IF(K$18+K$19=2,VLOOKUP(J50,J$6:K$16,2,FALSE),IF(J$18+J$19=0,VLOOKUP(J48,J$6:K$16,2,FALSE),VLOOKUP(J50,J$6:K$16,2,FALSE))))</f>
        <v>g</v>
      </c>
    </row>
    <row r="51" spans="1:11" s="64" customFormat="1" ht="14.45" hidden="1" customHeight="1" x14ac:dyDescent="0.25">
      <c r="A51" s="61"/>
      <c r="B51" s="65" t="str">
        <f>G4&amp;" (Future Service Period)"</f>
        <v>Ceased work to age 65 (Future Service Period)</v>
      </c>
      <c r="C51" s="171" t="e">
        <f ca="1">TEXT(H4,"#,###")&amp;" days"</f>
        <v>#VALUE!</v>
      </c>
      <c r="D51" s="172"/>
      <c r="E51" s="66"/>
      <c r="F51" s="67"/>
      <c r="G51" s="62" t="str">
        <f>IF(G54=1,"(Note: ",IF(G55=1,"(Note: ",""))</f>
        <v xml:space="preserve">(Note: </v>
      </c>
      <c r="H51" s="63"/>
      <c r="I51" s="63"/>
      <c r="J51" s="7">
        <f>L6+L7+L8+L9+L10+L11+L12+L13+L14+L15+L16+L17</f>
        <v>7</v>
      </c>
      <c r="K51" s="7" t="str">
        <f>IF($F$47=$C$11,VLOOKUP(J50,J$6:K$16,2,FALSE),IF(K$18+K$19=2,VLOOKUP(J51,J$6:K$16,2,FALSE),IF(J$18+J$19=0,VLOOKUP(J49,J$6:K$16,2,FALSE),VLOOKUP(J51,J$6:K$16,2,FALSE))))</f>
        <v>g</v>
      </c>
    </row>
    <row r="52" spans="1:11" s="63" customFormat="1" ht="25.5" hidden="1" customHeight="1" x14ac:dyDescent="0.25">
      <c r="B52" s="65" t="str">
        <f>G5&amp;" (Total Service Period)"</f>
        <v>Eligible service date to age 65 (Total Service Period)</v>
      </c>
      <c r="C52" s="171" t="e">
        <f>TEXT(H5,"#,###")&amp;" days"</f>
        <v>#VALUE!</v>
      </c>
      <c r="D52" s="172"/>
      <c r="E52" s="66"/>
      <c r="F52" s="68"/>
      <c r="G52" s="62" t="str">
        <f>IF(H26=0,"",IF(H26&lt;250000,"**Continuous Care sum insured requires a minimum $250,000 sum insured. ",IF(G18+I18=2,"**The proposed Continuous Care sum insured may exceed the maximum benefit limit available. ",IF(G17&lt;0,"",IF(C21&gt;3000000,"","")))))</f>
        <v/>
      </c>
    </row>
    <row r="53" spans="1:11" s="63" customFormat="1" ht="13.5" hidden="1" x14ac:dyDescent="0.25">
      <c r="B53" s="65"/>
      <c r="C53" s="65"/>
      <c r="D53" s="65"/>
      <c r="E53" s="65"/>
      <c r="F53" s="68"/>
      <c r="G53" s="62" t="str">
        <f>IF(G51="","",")")</f>
        <v>)</v>
      </c>
    </row>
    <row r="54" spans="1:11" s="63" customFormat="1" ht="13.5" hidden="1" x14ac:dyDescent="0.25">
      <c r="B54" s="65" t="s">
        <v>25</v>
      </c>
      <c r="C54" s="207" t="s">
        <v>26</v>
      </c>
      <c r="D54" s="208"/>
      <c r="E54" s="209"/>
      <c r="F54" s="68"/>
      <c r="G54" s="62">
        <f>IF(E47&gt;0,1,0)</f>
        <v>1</v>
      </c>
    </row>
    <row r="55" spans="1:11" s="63" customFormat="1" ht="13.5" hidden="1" x14ac:dyDescent="0.25">
      <c r="B55" s="65" t="str">
        <f>DOLLAR(C28,0)&amp;" + "&amp;DOLLAR(C37,0)&amp;" + "&amp;DOLLAR(C38,0)&amp;" ="</f>
        <v>$1,975,000 + $0 + $0 =</v>
      </c>
      <c r="C55" s="207" t="s">
        <v>26</v>
      </c>
      <c r="D55" s="208"/>
      <c r="E55" s="209"/>
      <c r="F55" s="68"/>
      <c r="G55" s="62">
        <f>IF(F47&gt;0,1,0)</f>
        <v>1</v>
      </c>
    </row>
    <row r="56" spans="1:11" s="63" customFormat="1" ht="13.5" hidden="1" x14ac:dyDescent="0.25">
      <c r="B56" s="65" t="s">
        <v>30</v>
      </c>
      <c r="C56" s="207" t="str">
        <f>DOLLAR(C28+C37+C38,0)</f>
        <v>$1,975,000</v>
      </c>
      <c r="D56" s="208"/>
      <c r="E56" s="209"/>
      <c r="F56" s="68"/>
      <c r="G56" s="62" t="str">
        <f>IF(G54+G55=0,""," ")</f>
        <v xml:space="preserve"> </v>
      </c>
    </row>
    <row r="57" spans="1:11" s="64" customFormat="1" ht="13.5" hidden="1" x14ac:dyDescent="0.25">
      <c r="A57" s="61"/>
      <c r="B57" s="69"/>
      <c r="C57" s="70" t="e">
        <f ca="1">LEFT(C51, SEARCH(" ",C51)-1)</f>
        <v>#VALUE!</v>
      </c>
      <c r="D57" s="70" t="e">
        <f>LEFT(C52, SEARCH(" ",C52)-1)</f>
        <v>#VALUE!</v>
      </c>
      <c r="E57" s="69"/>
      <c r="F57" s="71"/>
      <c r="G57" s="62" t="str">
        <f>IF(D3&gt;64,"**Continuous Care ceases from policy annivesary when aged 65. ","")</f>
        <v/>
      </c>
      <c r="H57" s="63"/>
      <c r="I57" s="63"/>
    </row>
    <row r="58" spans="1:11" s="64" customFormat="1" ht="13.5" hidden="1" x14ac:dyDescent="0.25">
      <c r="A58" s="61"/>
      <c r="B58" s="72" t="str">
        <f>"Super tax-free component + (Total benefit x (FSP ÷ TSP)) ="</f>
        <v>Super tax-free component + (Total benefit x (FSP ÷ TSP)) =</v>
      </c>
      <c r="C58" s="69" t="str">
        <f>"Tax-free component"</f>
        <v>Tax-free component</v>
      </c>
      <c r="D58" s="69"/>
      <c r="E58" s="69"/>
      <c r="F58" s="71"/>
      <c r="G58" s="62"/>
      <c r="H58" s="63"/>
      <c r="I58" s="63"/>
    </row>
    <row r="59" spans="1:11" s="64" customFormat="1" ht="13.5" hidden="1" x14ac:dyDescent="0.25">
      <c r="A59" s="61"/>
      <c r="B59" s="72" t="e">
        <f ca="1">DOLLAR(C37,0)&amp;" + ("&amp;DOLLAR(C28+C37+C38,0)&amp;" x ("&amp;TEXT(C57,"#,###")&amp;" ÷ "&amp;TEXT(D57,"#,###")&amp;") ="</f>
        <v>#VALUE!</v>
      </c>
      <c r="C59" s="69" t="str">
        <f>"Tax-free component"</f>
        <v>Tax-free component</v>
      </c>
      <c r="D59" s="69"/>
      <c r="E59" s="69"/>
      <c r="F59" s="71"/>
      <c r="G59" s="62" t="str">
        <f>IF(G57="",IF(I20+I19=2,"**The proposed Continuous Care sum insured may exceed the product's $5m maximum limit. ",IF(C22&gt;G16,IF(G52="","**The proposed Continuous Care sum insured may exceed the product's $"&amp;G16/1000000&amp;"m age-based cap"&amp;H16,"In addition, the proposed Continuous Care sum insured may exceed the product's $"&amp;G16/1000000&amp;"m age-based cap"&amp;H16),"")))</f>
        <v/>
      </c>
      <c r="H59" s="63"/>
      <c r="I59" s="63"/>
    </row>
    <row r="60" spans="1:11" s="61" customFormat="1" ht="15" hidden="1" customHeight="1" x14ac:dyDescent="0.25">
      <c r="B60" s="72" t="e">
        <f ca="1">DOLLAR(C37,0)&amp;" + ("&amp;DOLLAR(C28+C37+C38,0)&amp;" x ("&amp;I4&amp;") ="</f>
        <v>#VALUE!</v>
      </c>
      <c r="C60" s="69" t="str">
        <f>"Tax-free component"</f>
        <v>Tax-free component</v>
      </c>
      <c r="D60" s="69"/>
      <c r="E60" s="69"/>
      <c r="F60" s="71"/>
      <c r="G60" s="62"/>
      <c r="H60" s="63"/>
      <c r="I60" s="63"/>
    </row>
    <row r="61" spans="1:11" s="61" customFormat="1" ht="15" hidden="1" customHeight="1" x14ac:dyDescent="0.25">
      <c r="B61" s="72" t="str">
        <f>"Tax-free component ="</f>
        <v>Tax-free component =</v>
      </c>
      <c r="C61" s="213" t="str">
        <f>C40</f>
        <v/>
      </c>
      <c r="D61" s="214"/>
      <c r="E61" s="215"/>
      <c r="F61" s="71"/>
      <c r="G61" s="62"/>
      <c r="H61" s="63"/>
      <c r="I61" s="63"/>
    </row>
    <row r="62" spans="1:11" ht="15" hidden="1" customHeight="1" x14ac:dyDescent="0.25">
      <c r="B62" s="73"/>
      <c r="C62" s="73"/>
      <c r="D62" s="73"/>
      <c r="E62" s="73"/>
      <c r="F62" s="74"/>
    </row>
    <row r="63" spans="1:11" ht="15" hidden="1" customHeight="1" x14ac:dyDescent="0.25">
      <c r="B63" s="72" t="str">
        <f>"Taxable component x Tax rate above (22% by default, adviser changeable) ="</f>
        <v>Taxable component x Tax rate above (22% by default, adviser changeable) =</v>
      </c>
      <c r="C63" s="69" t="s">
        <v>27</v>
      </c>
      <c r="D63" s="73"/>
      <c r="E63" s="73"/>
      <c r="F63" s="74"/>
    </row>
    <row r="64" spans="1:11" ht="15" hidden="1" customHeight="1" x14ac:dyDescent="0.25">
      <c r="B64" s="72" t="e">
        <f>DOLLAR(C41,0)&amp;" x ("&amp;D18*100&amp;"%) ="</f>
        <v>#VALUE!</v>
      </c>
      <c r="C64" s="69" t="s">
        <v>27</v>
      </c>
      <c r="D64" s="73"/>
      <c r="E64" s="73"/>
      <c r="F64" s="74"/>
    </row>
    <row r="65" spans="2:10" ht="15" hidden="1" customHeight="1" x14ac:dyDescent="0.25">
      <c r="B65" s="72" t="s">
        <v>28</v>
      </c>
      <c r="C65" s="201" t="e">
        <f>DOLLAR(C41*D18,0)</f>
        <v>#VALUE!</v>
      </c>
      <c r="D65" s="202"/>
      <c r="E65" s="203"/>
      <c r="F65" s="74"/>
    </row>
    <row r="66" spans="2:10" ht="15" hidden="1" customHeight="1" x14ac:dyDescent="0.25">
      <c r="B66" s="72"/>
      <c r="C66" s="72"/>
      <c r="D66" s="72"/>
      <c r="E66" s="75"/>
      <c r="F66" s="74"/>
    </row>
    <row r="67" spans="2:10" ht="15" hidden="1" customHeight="1" x14ac:dyDescent="0.25">
      <c r="B67" s="72" t="s">
        <v>32</v>
      </c>
      <c r="C67" s="210" t="s">
        <v>29</v>
      </c>
      <c r="D67" s="211"/>
      <c r="E67" s="212"/>
      <c r="F67" s="74"/>
    </row>
    <row r="68" spans="2:10" ht="15" hidden="1" customHeight="1" x14ac:dyDescent="0.25">
      <c r="B68" s="72" t="e">
        <f>DOLLAR(C56,0)&amp;" - "&amp;DOLLAR(C65,0)&amp;" ="</f>
        <v>#VALUE!</v>
      </c>
      <c r="C68" s="210" t="s">
        <v>29</v>
      </c>
      <c r="D68" s="211"/>
      <c r="E68" s="212"/>
      <c r="F68" s="74"/>
    </row>
    <row r="69" spans="2:10" ht="15" hidden="1" customHeight="1" x14ac:dyDescent="0.25">
      <c r="B69" s="72" t="s">
        <v>33</v>
      </c>
      <c r="C69" s="210" t="e">
        <f>DOLLAR(C56-C65,0)</f>
        <v>#VALUE!</v>
      </c>
      <c r="D69" s="211"/>
      <c r="E69" s="212"/>
      <c r="F69" s="74"/>
    </row>
    <row r="70" spans="2:10" ht="15" hidden="1" customHeight="1" x14ac:dyDescent="0.25">
      <c r="B70" s="72"/>
      <c r="C70" s="72"/>
      <c r="D70" s="72"/>
      <c r="E70" s="75"/>
      <c r="F70" s="74"/>
    </row>
    <row r="71" spans="2:10" ht="15" hidden="1" customHeight="1" x14ac:dyDescent="0.25">
      <c r="B71" s="204" t="str">
        <f>"Method for estimating capital required for income uses net present value calc in 'Data (Super)' tab"</f>
        <v>Method for estimating capital required for income uses net present value calc in 'Data (Super)' tab</v>
      </c>
      <c r="C71" s="205"/>
      <c r="D71" s="205"/>
      <c r="E71" s="205"/>
      <c r="F71" s="206"/>
    </row>
    <row r="72" spans="2:10" s="61" customFormat="1" ht="15" hidden="1" customHeight="1" x14ac:dyDescent="0.25">
      <c r="B72" s="69"/>
      <c r="C72" s="69"/>
      <c r="D72" s="69"/>
      <c r="E72" s="69"/>
      <c r="F72" s="71"/>
      <c r="G72" s="62"/>
      <c r="H72" s="63"/>
      <c r="I72" s="63"/>
      <c r="J72" s="63"/>
    </row>
  </sheetData>
  <sheetProtection algorithmName="SHA-512" hashValue="cvNhAwbhTPpKqGOSQ5eejfq/GHNJt1F1Ufc5kl2O9sBlmWjNSXh27DZpGkisxONZxAvfZQUQPznnV90GFjWx6w==" saltValue="0k1z6+ypZcQOsQn+rmuThg==" spinCount="100000" sheet="1" objects="1" selectLockedCells="1"/>
  <mergeCells count="46">
    <mergeCell ref="C23:F23"/>
    <mergeCell ref="C30:D30"/>
    <mergeCell ref="C65:E65"/>
    <mergeCell ref="B71:F71"/>
    <mergeCell ref="C55:E55"/>
    <mergeCell ref="C56:E56"/>
    <mergeCell ref="C67:E67"/>
    <mergeCell ref="C68:E68"/>
    <mergeCell ref="C69:E69"/>
    <mergeCell ref="C54:E54"/>
    <mergeCell ref="C61:E61"/>
    <mergeCell ref="C28:F28"/>
    <mergeCell ref="C38:F38"/>
    <mergeCell ref="B34:D34"/>
    <mergeCell ref="B50:F50"/>
    <mergeCell ref="B49:F49"/>
    <mergeCell ref="B13:D13"/>
    <mergeCell ref="E13:F13"/>
    <mergeCell ref="C21:F21"/>
    <mergeCell ref="C22:F22"/>
    <mergeCell ref="C7:D7"/>
    <mergeCell ref="C8:D8"/>
    <mergeCell ref="B9:D9"/>
    <mergeCell ref="C10:D10"/>
    <mergeCell ref="C11:D11"/>
    <mergeCell ref="E11:F11"/>
    <mergeCell ref="C12:D12"/>
    <mergeCell ref="C43:F43"/>
    <mergeCell ref="C37:F37"/>
    <mergeCell ref="C41:F41"/>
    <mergeCell ref="C32:D32"/>
    <mergeCell ref="C33:D33"/>
    <mergeCell ref="C40:F40"/>
    <mergeCell ref="C51:D51"/>
    <mergeCell ref="C52:D52"/>
    <mergeCell ref="E45:F45"/>
    <mergeCell ref="B45:D45"/>
    <mergeCell ref="C47:D47"/>
    <mergeCell ref="B48:F48"/>
    <mergeCell ref="E26:F26"/>
    <mergeCell ref="B26:D26"/>
    <mergeCell ref="E25:F25"/>
    <mergeCell ref="B25:D25"/>
    <mergeCell ref="C31:D31"/>
    <mergeCell ref="C27:F27"/>
    <mergeCell ref="C29:D29"/>
  </mergeCells>
  <conditionalFormatting sqref="B29:B31">
    <cfRule type="expression" dxfId="12" priority="17">
      <formula>$D$4="No"</formula>
    </cfRule>
  </conditionalFormatting>
  <conditionalFormatting sqref="B47">
    <cfRule type="expression" dxfId="11" priority="2">
      <formula>$D$4="No"</formula>
    </cfRule>
  </conditionalFormatting>
  <conditionalFormatting sqref="B18:C18">
    <cfRule type="expression" dxfId="10" priority="18">
      <formula>$D$4="No"</formula>
    </cfRule>
  </conditionalFormatting>
  <conditionalFormatting sqref="B9:D9">
    <cfRule type="expression" dxfId="9" priority="11">
      <formula>$F$8&lt;$D$3</formula>
    </cfRule>
  </conditionalFormatting>
  <conditionalFormatting sqref="B13:D13">
    <cfRule type="expression" dxfId="8" priority="13">
      <formula>$F$12&lt;$D$3</formula>
    </cfRule>
  </conditionalFormatting>
  <conditionalFormatting sqref="B45:F45">
    <cfRule type="expression" dxfId="7" priority="5">
      <formula>$D$4="No"</formula>
    </cfRule>
  </conditionalFormatting>
  <conditionalFormatting sqref="B47:F47">
    <cfRule type="expression" dxfId="6" priority="4">
      <formula>$D$4="No"</formula>
    </cfRule>
  </conditionalFormatting>
  <conditionalFormatting sqref="C29:D32">
    <cfRule type="expression" dxfId="5" priority="16">
      <formula>$D$4="No"</formula>
    </cfRule>
  </conditionalFormatting>
  <conditionalFormatting sqref="C37:F38">
    <cfRule type="expression" dxfId="4" priority="1">
      <formula>$D$4="No"</formula>
    </cfRule>
  </conditionalFormatting>
  <conditionalFormatting sqref="C47:F47">
    <cfRule type="expression" dxfId="3" priority="3">
      <formula>$D$4="No"</formula>
    </cfRule>
  </conditionalFormatting>
  <conditionalFormatting sqref="D18">
    <cfRule type="expression" dxfId="2" priority="15">
      <formula>$D$4="No"</formula>
    </cfRule>
  </conditionalFormatting>
  <conditionalFormatting sqref="G25">
    <cfRule type="expression" dxfId="1" priority="19">
      <formula>$C$7=$E$47</formula>
    </cfRule>
  </conditionalFormatting>
  <conditionalFormatting sqref="G26">
    <cfRule type="expression" dxfId="0" priority="20">
      <formula>$F$47=$C$11</formula>
    </cfRule>
  </conditionalFormatting>
  <dataValidations count="2">
    <dataValidation type="list" allowBlank="1" showInputMessage="1" showErrorMessage="1" sqref="D4" xr:uid="{DF5324F3-11C4-487C-9E19-AB3847723B4A}">
      <formula1>$H$6:$H$7</formula1>
    </dataValidation>
    <dataValidation type="list" allowBlank="1" showInputMessage="1" showErrorMessage="1" sqref="C31:D31" xr:uid="{8AA3C032-DA17-478D-9D4F-E5C6862B4BFC}">
      <formula1>$H$29:$H$30</formula1>
    </dataValidation>
  </dataValidations>
  <printOptions horizontalCentered="1" verticalCentered="1"/>
  <pageMargins left="0.23622047244094491" right="0.23622047244094491" top="0" bottom="0.74803149606299213" header="0.31496062992125984" footer="0.31496062992125984"/>
  <pageSetup paperSize="9" scale="71" orientation="portrait" r:id="rId1"/>
  <ignoredErrors>
    <ignoredError sqref="G44" formula="1"/>
    <ignoredError sqref="G40"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B0070-8D81-417D-876B-7A5E120E74CA}">
  <dimension ref="A1:O53"/>
  <sheetViews>
    <sheetView workbookViewId="0">
      <selection activeCell="I2" sqref="I2"/>
    </sheetView>
  </sheetViews>
  <sheetFormatPr defaultRowHeight="15" x14ac:dyDescent="0.25"/>
  <cols>
    <col min="5" max="5" width="10.28515625" bestFit="1" customWidth="1"/>
    <col min="6" max="6" width="17.28515625" bestFit="1" customWidth="1"/>
    <col min="7" max="7" width="12.42578125" style="2" bestFit="1" customWidth="1"/>
    <col min="8" max="8" width="11.140625" bestFit="1" customWidth="1"/>
    <col min="13" max="13" width="10.28515625" bestFit="1" customWidth="1"/>
    <col min="14" max="14" width="17.28515625" bestFit="1" customWidth="1"/>
    <col min="15" max="15" width="12.42578125" style="2" bestFit="1" customWidth="1"/>
  </cols>
  <sheetData>
    <row r="1" spans="1:15" x14ac:dyDescent="0.25">
      <c r="A1" t="s">
        <v>9</v>
      </c>
      <c r="B1" t="s">
        <v>10</v>
      </c>
      <c r="C1" t="s">
        <v>7</v>
      </c>
      <c r="D1" t="s">
        <v>11</v>
      </c>
      <c r="E1" t="s">
        <v>12</v>
      </c>
      <c r="F1" t="s">
        <v>13</v>
      </c>
      <c r="G1" s="2" t="s">
        <v>14</v>
      </c>
      <c r="I1" t="s">
        <v>9</v>
      </c>
      <c r="J1" t="s">
        <v>10</v>
      </c>
      <c r="K1" t="s">
        <v>7</v>
      </c>
      <c r="L1" t="s">
        <v>11</v>
      </c>
      <c r="M1" t="s">
        <v>12</v>
      </c>
      <c r="N1" t="s">
        <v>13</v>
      </c>
      <c r="O1" s="2" t="s">
        <v>14</v>
      </c>
    </row>
    <row r="2" spans="1:15" x14ac:dyDescent="0.25">
      <c r="A2">
        <f>'TPD Calculator'!D3</f>
        <v>49</v>
      </c>
      <c r="B2" s="4">
        <f>IF(A2="","",'TPD Calculator'!C6)</f>
        <v>50000</v>
      </c>
      <c r="C2" s="3">
        <f>IF(A2="","",'TPD Calculator'!D$13)</f>
        <v>2.5000000000000001E-2</v>
      </c>
      <c r="D2" s="3">
        <f>IF(A2="","",'TPD Calculator'!D$14)</f>
        <v>3.5000000000000003E-2</v>
      </c>
      <c r="E2">
        <f>COUNT(A:A)</f>
        <v>16</v>
      </c>
      <c r="F2" s="1">
        <f>IF(B2="","",B2*(1-D2))</f>
        <v>48250</v>
      </c>
      <c r="G2" s="2">
        <f>NPV(D2,B2:B200)</f>
        <v>719384.16295611963</v>
      </c>
      <c r="I2">
        <f>IF('TPD Calculator'!D3&gt;65,65,'TPD Calculator'!D3)</f>
        <v>49</v>
      </c>
      <c r="J2" s="4">
        <f>IF(I2="","",'TPD Calculator'!C10)</f>
        <v>25000</v>
      </c>
      <c r="K2" s="3">
        <f>IF(I2="","",'TPD Calculator'!D$13)</f>
        <v>2.5000000000000001E-2</v>
      </c>
      <c r="L2" s="3">
        <f>IF(I2="","",'TPD Calculator'!D$14)</f>
        <v>3.5000000000000003E-2</v>
      </c>
      <c r="M2">
        <f>COUNT(I:I)</f>
        <v>16</v>
      </c>
      <c r="N2" s="1">
        <f>IF(J2="","",J2*(1-L2))</f>
        <v>24125</v>
      </c>
      <c r="O2" s="2">
        <f>NPV(L2,J2:J200)</f>
        <v>359692.08147805982</v>
      </c>
    </row>
    <row r="3" spans="1:15" x14ac:dyDescent="0.25">
      <c r="A3">
        <f>IF(A2&gt;'TPD Calculator'!F$6-2,"",A2+1)</f>
        <v>50</v>
      </c>
      <c r="B3" s="4">
        <f t="shared" ref="B3:B12" si="0">IF(A3="","",B2*(1+C3))</f>
        <v>51249.999999999993</v>
      </c>
      <c r="C3" s="3">
        <f>IF(A3="","",'TPD Calculator'!D$13)</f>
        <v>2.5000000000000001E-2</v>
      </c>
      <c r="D3" s="3">
        <f>IF(A3="","",'TPD Calculator'!D$14)</f>
        <v>3.5000000000000003E-2</v>
      </c>
      <c r="E3" s="5">
        <f>IF(E2="","",IF(E2-1=0,"",E2-1))</f>
        <v>15</v>
      </c>
      <c r="F3" s="1">
        <f t="shared" ref="F3:F12" si="1">IF(B3="","",B3*(1-D3))</f>
        <v>49456.249999999993</v>
      </c>
      <c r="I3">
        <f>IF(I2&gt;'TPD Calculator'!F$10-2,"",IF(I2=64,"",I2+1))</f>
        <v>50</v>
      </c>
      <c r="J3" s="4">
        <f t="shared" ref="J3:J53" si="2">IF(I3="","",J2*(1+K3))</f>
        <v>25624.999999999996</v>
      </c>
      <c r="K3" s="3">
        <f>IF(I3="","",'TPD Calculator'!D$13)</f>
        <v>2.5000000000000001E-2</v>
      </c>
      <c r="L3" s="3">
        <f>IF(I3="","",'TPD Calculator'!D$14)</f>
        <v>3.5000000000000003E-2</v>
      </c>
      <c r="M3" s="5">
        <f>IF(M2="","",IF(M2-1=0,"",M2-1))</f>
        <v>15</v>
      </c>
      <c r="N3" s="1">
        <f t="shared" ref="N3:N53" si="3">IF(J3="","",J3*(1-L3))</f>
        <v>24728.124999999996</v>
      </c>
    </row>
    <row r="4" spans="1:15" x14ac:dyDescent="0.25">
      <c r="A4">
        <f>IF(A3&gt;'TPD Calculator'!F$6-2,"",A3+1)</f>
        <v>51</v>
      </c>
      <c r="B4" s="4">
        <f t="shared" si="0"/>
        <v>52531.249999999985</v>
      </c>
      <c r="C4" s="3">
        <f>IF(A4="","",'TPD Calculator'!D$13)</f>
        <v>2.5000000000000001E-2</v>
      </c>
      <c r="D4" s="3">
        <f>IF(A4="","",'TPD Calculator'!D$14)</f>
        <v>3.5000000000000003E-2</v>
      </c>
      <c r="E4" s="5">
        <f t="shared" ref="E4:E12" si="4">IF(E3="","",IF(E3-1=0,"",E3-1))</f>
        <v>14</v>
      </c>
      <c r="F4" s="1">
        <f t="shared" si="1"/>
        <v>50692.656249999985</v>
      </c>
      <c r="I4">
        <f>IF(I3&gt;'TPD Calculator'!F$10-2,"",IF(I3=64,"",I3+1))</f>
        <v>51</v>
      </c>
      <c r="J4" s="4">
        <f t="shared" si="2"/>
        <v>26265.624999999993</v>
      </c>
      <c r="K4" s="3">
        <f>IF(I4="","",'TPD Calculator'!D$13)</f>
        <v>2.5000000000000001E-2</v>
      </c>
      <c r="L4" s="3">
        <f>IF(I4="","",'TPD Calculator'!D$14)</f>
        <v>3.5000000000000003E-2</v>
      </c>
      <c r="M4" s="5">
        <f t="shared" ref="M4:M53" si="5">IF(M3="","",IF(M3-1=0,"",M3-1))</f>
        <v>14</v>
      </c>
      <c r="N4" s="1">
        <f t="shared" si="3"/>
        <v>25346.328124999993</v>
      </c>
    </row>
    <row r="5" spans="1:15" x14ac:dyDescent="0.25">
      <c r="A5">
        <f>IF(A4&gt;'TPD Calculator'!F$6-2,"",A4+1)</f>
        <v>52</v>
      </c>
      <c r="B5" s="4">
        <f t="shared" si="0"/>
        <v>53844.531249999978</v>
      </c>
      <c r="C5" s="3">
        <f>IF(A5="","",'TPD Calculator'!D$13)</f>
        <v>2.5000000000000001E-2</v>
      </c>
      <c r="D5" s="3">
        <f>IF(A5="","",'TPD Calculator'!D$14)</f>
        <v>3.5000000000000003E-2</v>
      </c>
      <c r="E5" s="5">
        <f t="shared" si="4"/>
        <v>13</v>
      </c>
      <c r="F5" s="1">
        <f t="shared" si="1"/>
        <v>51959.972656249978</v>
      </c>
      <c r="I5">
        <f>IF(I4&gt;'TPD Calculator'!F$10-2,"",IF(I4=64,"",I4+1))</f>
        <v>52</v>
      </c>
      <c r="J5" s="4">
        <f t="shared" si="2"/>
        <v>26922.265624999989</v>
      </c>
      <c r="K5" s="3">
        <f>IF(I5="","",'TPD Calculator'!D$13)</f>
        <v>2.5000000000000001E-2</v>
      </c>
      <c r="L5" s="3">
        <f>IF(I5="","",'TPD Calculator'!D$14)</f>
        <v>3.5000000000000003E-2</v>
      </c>
      <c r="M5" s="5">
        <f t="shared" si="5"/>
        <v>13</v>
      </c>
      <c r="N5" s="1">
        <f t="shared" si="3"/>
        <v>25979.986328124989</v>
      </c>
    </row>
    <row r="6" spans="1:15" x14ac:dyDescent="0.25">
      <c r="A6">
        <f>IF(A5&gt;'TPD Calculator'!F$6-2,"",A5+1)</f>
        <v>53</v>
      </c>
      <c r="B6" s="4">
        <f t="shared" si="0"/>
        <v>55190.644531249971</v>
      </c>
      <c r="C6" s="3">
        <f>IF(A6="","",'TPD Calculator'!D$13)</f>
        <v>2.5000000000000001E-2</v>
      </c>
      <c r="D6" s="3">
        <f>IF(A6="","",'TPD Calculator'!D$14)</f>
        <v>3.5000000000000003E-2</v>
      </c>
      <c r="E6" s="5">
        <f t="shared" si="4"/>
        <v>12</v>
      </c>
      <c r="F6" s="1">
        <f t="shared" si="1"/>
        <v>53258.971972656218</v>
      </c>
      <c r="H6" s="2"/>
      <c r="I6">
        <f>IF(I5&gt;'TPD Calculator'!F$10-2,"",IF(I5=64,"",I5+1))</f>
        <v>53</v>
      </c>
      <c r="J6" s="4">
        <f t="shared" si="2"/>
        <v>27595.322265624985</v>
      </c>
      <c r="K6" s="3">
        <f>IF(I6="","",'TPD Calculator'!D$13)</f>
        <v>2.5000000000000001E-2</v>
      </c>
      <c r="L6" s="3">
        <f>IF(I6="","",'TPD Calculator'!D$14)</f>
        <v>3.5000000000000003E-2</v>
      </c>
      <c r="M6" s="5">
        <f t="shared" si="5"/>
        <v>12</v>
      </c>
      <c r="N6" s="1">
        <f t="shared" si="3"/>
        <v>26629.485986328109</v>
      </c>
    </row>
    <row r="7" spans="1:15" x14ac:dyDescent="0.25">
      <c r="A7">
        <f>IF(A6&gt;'TPD Calculator'!F$6-2,"",A6+1)</f>
        <v>54</v>
      </c>
      <c r="B7" s="4">
        <f t="shared" si="0"/>
        <v>56570.410644531214</v>
      </c>
      <c r="C7" s="3">
        <f>IF(A7="","",'TPD Calculator'!D$13)</f>
        <v>2.5000000000000001E-2</v>
      </c>
      <c r="D7" s="3">
        <f>IF(A7="","",'TPD Calculator'!D$14)</f>
        <v>3.5000000000000003E-2</v>
      </c>
      <c r="E7" s="5">
        <f t="shared" si="4"/>
        <v>11</v>
      </c>
      <c r="F7" s="1">
        <f t="shared" si="1"/>
        <v>54590.446271972622</v>
      </c>
      <c r="I7">
        <f>IF(I6&gt;'TPD Calculator'!F$10-2,"",IF(I6=64,"",I6+1))</f>
        <v>54</v>
      </c>
      <c r="J7" s="4">
        <f t="shared" si="2"/>
        <v>28285.205322265607</v>
      </c>
      <c r="K7" s="3">
        <f>IF(I7="","",'TPD Calculator'!D$13)</f>
        <v>2.5000000000000001E-2</v>
      </c>
      <c r="L7" s="3">
        <f>IF(I7="","",'TPD Calculator'!D$14)</f>
        <v>3.5000000000000003E-2</v>
      </c>
      <c r="M7" s="5">
        <f t="shared" si="5"/>
        <v>11</v>
      </c>
      <c r="N7" s="1">
        <f t="shared" si="3"/>
        <v>27295.223135986311</v>
      </c>
    </row>
    <row r="8" spans="1:15" x14ac:dyDescent="0.25">
      <c r="A8">
        <f>IF(A7&gt;'TPD Calculator'!F$6-2,"",A7+1)</f>
        <v>55</v>
      </c>
      <c r="B8" s="4">
        <f t="shared" si="0"/>
        <v>57984.670910644491</v>
      </c>
      <c r="C8" s="3">
        <f>IF(A8="","",'TPD Calculator'!D$13)</f>
        <v>2.5000000000000001E-2</v>
      </c>
      <c r="D8" s="3">
        <f>IF(A8="","",'TPD Calculator'!D$14)</f>
        <v>3.5000000000000003E-2</v>
      </c>
      <c r="E8" s="5">
        <f t="shared" si="4"/>
        <v>10</v>
      </c>
      <c r="F8" s="1">
        <f t="shared" si="1"/>
        <v>55955.20742877193</v>
      </c>
      <c r="I8">
        <f>IF(I7&gt;'TPD Calculator'!F$10-2,"",IF(I7=64,"",I7+1))</f>
        <v>55</v>
      </c>
      <c r="J8" s="4">
        <f t="shared" si="2"/>
        <v>28992.335455322245</v>
      </c>
      <c r="K8" s="3">
        <f>IF(I8="","",'TPD Calculator'!D$13)</f>
        <v>2.5000000000000001E-2</v>
      </c>
      <c r="L8" s="3">
        <f>IF(I8="","",'TPD Calculator'!D$14)</f>
        <v>3.5000000000000003E-2</v>
      </c>
      <c r="M8" s="5">
        <f t="shared" si="5"/>
        <v>10</v>
      </c>
      <c r="N8" s="1">
        <f t="shared" si="3"/>
        <v>27977.603714385965</v>
      </c>
    </row>
    <row r="9" spans="1:15" x14ac:dyDescent="0.25">
      <c r="A9">
        <f>IF(A8&gt;'TPD Calculator'!F$6-2,"",A8+1)</f>
        <v>56</v>
      </c>
      <c r="B9" s="4">
        <f t="shared" si="0"/>
        <v>59434.287683410599</v>
      </c>
      <c r="C9" s="3">
        <f>IF(A9="","",'TPD Calculator'!D$13)</f>
        <v>2.5000000000000001E-2</v>
      </c>
      <c r="D9" s="3">
        <f>IF(A9="","",'TPD Calculator'!D$14)</f>
        <v>3.5000000000000003E-2</v>
      </c>
      <c r="E9" s="5">
        <f t="shared" si="4"/>
        <v>9</v>
      </c>
      <c r="F9" s="1">
        <f t="shared" si="1"/>
        <v>57354.087614491225</v>
      </c>
      <c r="I9">
        <f>IF(I8&gt;'TPD Calculator'!F$10-2,"",IF(I8=64,"",I8+1))</f>
        <v>56</v>
      </c>
      <c r="J9" s="4">
        <f t="shared" si="2"/>
        <v>29717.1438417053</v>
      </c>
      <c r="K9" s="3">
        <f>IF(I9="","",'TPD Calculator'!D$13)</f>
        <v>2.5000000000000001E-2</v>
      </c>
      <c r="L9" s="3">
        <f>IF(I9="","",'TPD Calculator'!D$14)</f>
        <v>3.5000000000000003E-2</v>
      </c>
      <c r="M9" s="5">
        <f t="shared" si="5"/>
        <v>9</v>
      </c>
      <c r="N9" s="1">
        <f t="shared" si="3"/>
        <v>28677.043807245613</v>
      </c>
    </row>
    <row r="10" spans="1:15" x14ac:dyDescent="0.25">
      <c r="A10">
        <f>IF(A9&gt;'TPD Calculator'!F$6-2,"",A9+1)</f>
        <v>57</v>
      </c>
      <c r="B10" s="4">
        <f t="shared" si="0"/>
        <v>60920.144875495862</v>
      </c>
      <c r="C10" s="3">
        <f>IF(A10="","",'TPD Calculator'!D$13)</f>
        <v>2.5000000000000001E-2</v>
      </c>
      <c r="D10" s="3">
        <f>IF(A10="","",'TPD Calculator'!D$14)</f>
        <v>3.5000000000000003E-2</v>
      </c>
      <c r="E10" s="5">
        <f t="shared" si="4"/>
        <v>8</v>
      </c>
      <c r="F10" s="1">
        <f t="shared" si="1"/>
        <v>58787.939804853508</v>
      </c>
      <c r="I10">
        <f>IF(I9&gt;'TPD Calculator'!F$10-2,"",IF(I9=64,"",I9+1))</f>
        <v>57</v>
      </c>
      <c r="J10" s="4">
        <f t="shared" si="2"/>
        <v>30460.072437747931</v>
      </c>
      <c r="K10" s="3">
        <f>IF(I10="","",'TPD Calculator'!D$13)</f>
        <v>2.5000000000000001E-2</v>
      </c>
      <c r="L10" s="3">
        <f>IF(I10="","",'TPD Calculator'!D$14)</f>
        <v>3.5000000000000003E-2</v>
      </c>
      <c r="M10" s="5">
        <f t="shared" si="5"/>
        <v>8</v>
      </c>
      <c r="N10" s="1">
        <f t="shared" si="3"/>
        <v>29393.969902426754</v>
      </c>
    </row>
    <row r="11" spans="1:15" x14ac:dyDescent="0.25">
      <c r="A11">
        <f>IF(A10&gt;'TPD Calculator'!F$6-2,"",A10+1)</f>
        <v>58</v>
      </c>
      <c r="B11" s="4">
        <f t="shared" si="0"/>
        <v>62443.148497383256</v>
      </c>
      <c r="C11" s="3">
        <f>IF(A11="","",'TPD Calculator'!D$13)</f>
        <v>2.5000000000000001E-2</v>
      </c>
      <c r="D11" s="3">
        <f>IF(A11="","",'TPD Calculator'!D$14)</f>
        <v>3.5000000000000003E-2</v>
      </c>
      <c r="E11" s="5">
        <f t="shared" si="4"/>
        <v>7</v>
      </c>
      <c r="F11" s="1">
        <f t="shared" si="1"/>
        <v>60257.638299974838</v>
      </c>
      <c r="I11">
        <f>IF(I10&gt;'TPD Calculator'!F$10-2,"",IF(I10=64,"",I10+1))</f>
        <v>58</v>
      </c>
      <c r="J11" s="4">
        <f t="shared" si="2"/>
        <v>31221.574248691628</v>
      </c>
      <c r="K11" s="3">
        <f>IF(I11="","",'TPD Calculator'!D$13)</f>
        <v>2.5000000000000001E-2</v>
      </c>
      <c r="L11" s="3">
        <f>IF(I11="","",'TPD Calculator'!D$14)</f>
        <v>3.5000000000000003E-2</v>
      </c>
      <c r="M11" s="5">
        <f t="shared" si="5"/>
        <v>7</v>
      </c>
      <c r="N11" s="1">
        <f t="shared" si="3"/>
        <v>30128.819149987419</v>
      </c>
    </row>
    <row r="12" spans="1:15" x14ac:dyDescent="0.25">
      <c r="A12">
        <f>IF(A11&gt;'TPD Calculator'!F$6-2,"",A11+1)</f>
        <v>59</v>
      </c>
      <c r="B12" s="4">
        <f t="shared" si="0"/>
        <v>64004.227209817829</v>
      </c>
      <c r="C12" s="3">
        <f>IF(A12="","",'TPD Calculator'!D$13)</f>
        <v>2.5000000000000001E-2</v>
      </c>
      <c r="D12" s="3">
        <f>IF(A12="","",'TPD Calculator'!D$14)</f>
        <v>3.5000000000000003E-2</v>
      </c>
      <c r="E12" s="5">
        <f t="shared" si="4"/>
        <v>6</v>
      </c>
      <c r="F12" s="1">
        <f t="shared" si="1"/>
        <v>61764.079257474201</v>
      </c>
      <c r="I12">
        <f>IF(I11&gt;'TPD Calculator'!F$10-2,"",IF(I11=64,"",I11+1))</f>
        <v>59</v>
      </c>
      <c r="J12" s="4">
        <f t="shared" si="2"/>
        <v>32002.113604908915</v>
      </c>
      <c r="K12" s="3">
        <f>IF(I12="","",'TPD Calculator'!D$13)</f>
        <v>2.5000000000000001E-2</v>
      </c>
      <c r="L12" s="3">
        <f>IF(I12="","",'TPD Calculator'!D$14)</f>
        <v>3.5000000000000003E-2</v>
      </c>
      <c r="M12" s="5">
        <f t="shared" si="5"/>
        <v>6</v>
      </c>
      <c r="N12" s="1">
        <f t="shared" si="3"/>
        <v>30882.0396287371</v>
      </c>
    </row>
    <row r="13" spans="1:15" x14ac:dyDescent="0.25">
      <c r="A13">
        <f>IF(A12&gt;'TPD Calculator'!F$6-2,"",A12+1)</f>
        <v>60</v>
      </c>
      <c r="B13" s="4">
        <f t="shared" ref="B13:B53" si="6">IF(A13="","",B12*(1+C13))</f>
        <v>65604.332890063262</v>
      </c>
      <c r="C13" s="3">
        <f>IF(A13="","",'TPD Calculator'!D$13)</f>
        <v>2.5000000000000001E-2</v>
      </c>
      <c r="D13" s="3">
        <f>IF(A13="","",'TPD Calculator'!D$14)</f>
        <v>3.5000000000000003E-2</v>
      </c>
      <c r="E13" s="5">
        <f t="shared" ref="E13:E53" si="7">IF(E12="","",IF(E12-1=0,"",E12-1))</f>
        <v>5</v>
      </c>
      <c r="F13" s="1">
        <f t="shared" ref="F13:F53" si="8">IF(B13="","",B13*(1-D13))</f>
        <v>63308.181238911049</v>
      </c>
      <c r="I13">
        <f>IF(I12&gt;'TPD Calculator'!F$10-2,"",IF(I12=64,"",I12+1))</f>
        <v>60</v>
      </c>
      <c r="J13" s="4">
        <f t="shared" si="2"/>
        <v>32802.166445031631</v>
      </c>
      <c r="K13" s="3">
        <f>IF(I13="","",'TPD Calculator'!D$13)</f>
        <v>2.5000000000000001E-2</v>
      </c>
      <c r="L13" s="3">
        <f>IF(I13="","",'TPD Calculator'!D$14)</f>
        <v>3.5000000000000003E-2</v>
      </c>
      <c r="M13" s="5">
        <f t="shared" si="5"/>
        <v>5</v>
      </c>
      <c r="N13" s="1">
        <f t="shared" si="3"/>
        <v>31654.090619455525</v>
      </c>
    </row>
    <row r="14" spans="1:15" x14ac:dyDescent="0.25">
      <c r="A14">
        <f>IF(A13&gt;'TPD Calculator'!F$6-2,"",A13+1)</f>
        <v>61</v>
      </c>
      <c r="B14" s="4">
        <f t="shared" si="6"/>
        <v>67244.441212314836</v>
      </c>
      <c r="C14" s="3">
        <f>IF(A14="","",'TPD Calculator'!D$13)</f>
        <v>2.5000000000000001E-2</v>
      </c>
      <c r="D14" s="3">
        <f>IF(A14="","",'TPD Calculator'!D$14)</f>
        <v>3.5000000000000003E-2</v>
      </c>
      <c r="E14" s="5">
        <f t="shared" si="7"/>
        <v>4</v>
      </c>
      <c r="F14" s="1">
        <f t="shared" si="8"/>
        <v>64890.885769883811</v>
      </c>
      <c r="I14">
        <f>IF(I13&gt;'TPD Calculator'!F$10-2,"",IF(I13=64,"",I13+1))</f>
        <v>61</v>
      </c>
      <c r="J14" s="4">
        <f t="shared" si="2"/>
        <v>33622.220606157418</v>
      </c>
      <c r="K14" s="3">
        <f>IF(I14="","",'TPD Calculator'!D$13)</f>
        <v>2.5000000000000001E-2</v>
      </c>
      <c r="L14" s="3">
        <f>IF(I14="","",'TPD Calculator'!D$14)</f>
        <v>3.5000000000000003E-2</v>
      </c>
      <c r="M14" s="5">
        <f t="shared" si="5"/>
        <v>4</v>
      </c>
      <c r="N14" s="1">
        <f t="shared" si="3"/>
        <v>32445.442884941906</v>
      </c>
    </row>
    <row r="15" spans="1:15" x14ac:dyDescent="0.25">
      <c r="A15">
        <f>IF(A14&gt;'TPD Calculator'!F$6-2,"",A14+1)</f>
        <v>62</v>
      </c>
      <c r="B15" s="4">
        <f t="shared" si="6"/>
        <v>68925.552242622696</v>
      </c>
      <c r="C15" s="3">
        <f>IF(A15="","",'TPD Calculator'!D$13)</f>
        <v>2.5000000000000001E-2</v>
      </c>
      <c r="D15" s="3">
        <f>IF(A15="","",'TPD Calculator'!D$14)</f>
        <v>3.5000000000000003E-2</v>
      </c>
      <c r="E15" s="5">
        <f t="shared" si="7"/>
        <v>3</v>
      </c>
      <c r="F15" s="1">
        <f t="shared" si="8"/>
        <v>66513.157914130905</v>
      </c>
      <c r="I15">
        <f>IF(I14&gt;'TPD Calculator'!F$10-2,"",IF(I14=64,"",I14+1))</f>
        <v>62</v>
      </c>
      <c r="J15" s="4">
        <f t="shared" si="2"/>
        <v>34462.776121311348</v>
      </c>
      <c r="K15" s="3">
        <f>IF(I15="","",'TPD Calculator'!D$13)</f>
        <v>2.5000000000000001E-2</v>
      </c>
      <c r="L15" s="3">
        <f>IF(I15="","",'TPD Calculator'!D$14)</f>
        <v>3.5000000000000003E-2</v>
      </c>
      <c r="M15" s="5">
        <f t="shared" si="5"/>
        <v>3</v>
      </c>
      <c r="N15" s="1">
        <f t="shared" si="3"/>
        <v>33256.578957065452</v>
      </c>
    </row>
    <row r="16" spans="1:15" x14ac:dyDescent="0.25">
      <c r="A16">
        <f>IF(A15&gt;'TPD Calculator'!F$6-2,"",A15+1)</f>
        <v>63</v>
      </c>
      <c r="B16" s="4">
        <f t="shared" si="6"/>
        <v>70648.691048688255</v>
      </c>
      <c r="C16" s="3">
        <f>IF(A16="","",'TPD Calculator'!D$13)</f>
        <v>2.5000000000000001E-2</v>
      </c>
      <c r="D16" s="3">
        <f>IF(A16="","",'TPD Calculator'!D$14)</f>
        <v>3.5000000000000003E-2</v>
      </c>
      <c r="E16" s="5">
        <f t="shared" si="7"/>
        <v>2</v>
      </c>
      <c r="F16" s="1">
        <f t="shared" si="8"/>
        <v>68175.986861984158</v>
      </c>
      <c r="I16">
        <f>IF(I15&gt;'TPD Calculator'!F$10-2,"",IF(I15=64,"",I15+1))</f>
        <v>63</v>
      </c>
      <c r="J16" s="4">
        <f t="shared" si="2"/>
        <v>35324.345524344128</v>
      </c>
      <c r="K16" s="3">
        <f>IF(I16="","",'TPD Calculator'!D$13)</f>
        <v>2.5000000000000001E-2</v>
      </c>
      <c r="L16" s="3">
        <f>IF(I16="","",'TPD Calculator'!D$14)</f>
        <v>3.5000000000000003E-2</v>
      </c>
      <c r="M16" s="5">
        <f t="shared" si="5"/>
        <v>2</v>
      </c>
      <c r="N16" s="1">
        <f t="shared" si="3"/>
        <v>34087.993430992079</v>
      </c>
    </row>
    <row r="17" spans="1:14" x14ac:dyDescent="0.25">
      <c r="A17">
        <f>IF(A16&gt;'TPD Calculator'!F$6-2,"",A16+1)</f>
        <v>64</v>
      </c>
      <c r="B17" s="4">
        <f t="shared" si="6"/>
        <v>72414.908324905453</v>
      </c>
      <c r="C17" s="3">
        <f>IF(A17="","",'TPD Calculator'!D$13)</f>
        <v>2.5000000000000001E-2</v>
      </c>
      <c r="D17" s="3">
        <f>IF(A17="","",'TPD Calculator'!D$14)</f>
        <v>3.5000000000000003E-2</v>
      </c>
      <c r="E17" s="5">
        <f t="shared" si="7"/>
        <v>1</v>
      </c>
      <c r="F17" s="1">
        <f t="shared" si="8"/>
        <v>69880.386533533761</v>
      </c>
      <c r="I17">
        <f>IF(I16&gt;'TPD Calculator'!F$10-2,"",IF(I16=64,"",I16+1))</f>
        <v>64</v>
      </c>
      <c r="J17" s="4">
        <f t="shared" si="2"/>
        <v>36207.454162452726</v>
      </c>
      <c r="K17" s="3">
        <f>IF(I17="","",'TPD Calculator'!D$13)</f>
        <v>2.5000000000000001E-2</v>
      </c>
      <c r="L17" s="3">
        <f>IF(I17="","",'TPD Calculator'!D$14)</f>
        <v>3.5000000000000003E-2</v>
      </c>
      <c r="M17" s="5">
        <f t="shared" si="5"/>
        <v>1</v>
      </c>
      <c r="N17" s="1">
        <f t="shared" si="3"/>
        <v>34940.193266766881</v>
      </c>
    </row>
    <row r="18" spans="1:14" x14ac:dyDescent="0.25">
      <c r="A18" t="str">
        <f>IF(A17&gt;'TPD Calculator'!F$6-2,"",A17+1)</f>
        <v/>
      </c>
      <c r="B18" s="4" t="str">
        <f t="shared" si="6"/>
        <v/>
      </c>
      <c r="C18" s="3" t="str">
        <f>IF(A18="","",'TPD Calculator'!D$13)</f>
        <v/>
      </c>
      <c r="D18" s="3" t="str">
        <f>IF(A18="","",'TPD Calculator'!D$14)</f>
        <v/>
      </c>
      <c r="E18" s="5" t="str">
        <f t="shared" si="7"/>
        <v/>
      </c>
      <c r="F18" s="1" t="str">
        <f t="shared" si="8"/>
        <v/>
      </c>
      <c r="I18" t="str">
        <f>IF(I17&gt;'TPD Calculator'!F$10-2,"",IF(I17=64,"",I17+1))</f>
        <v/>
      </c>
      <c r="J18" s="4" t="str">
        <f t="shared" si="2"/>
        <v/>
      </c>
      <c r="K18" s="3" t="str">
        <f>IF(I18="","",'TPD Calculator'!D$13)</f>
        <v/>
      </c>
      <c r="L18" s="3" t="str">
        <f>IF(I18="","",'TPD Calculator'!D$14)</f>
        <v/>
      </c>
      <c r="M18" s="5" t="str">
        <f t="shared" si="5"/>
        <v/>
      </c>
      <c r="N18" s="1" t="str">
        <f t="shared" si="3"/>
        <v/>
      </c>
    </row>
    <row r="19" spans="1:14" x14ac:dyDescent="0.25">
      <c r="A19" t="str">
        <f>IF(A18&gt;'TPD Calculator'!F$6-2,"",A18+1)</f>
        <v/>
      </c>
      <c r="B19" s="4" t="str">
        <f t="shared" si="6"/>
        <v/>
      </c>
      <c r="C19" s="3" t="str">
        <f>IF(A19="","",'TPD Calculator'!D$13)</f>
        <v/>
      </c>
      <c r="D19" s="3" t="str">
        <f>IF(A19="","",'TPD Calculator'!D$14)</f>
        <v/>
      </c>
      <c r="E19" s="5" t="str">
        <f t="shared" si="7"/>
        <v/>
      </c>
      <c r="F19" s="1" t="str">
        <f t="shared" si="8"/>
        <v/>
      </c>
      <c r="I19" t="str">
        <f>IF(I18&gt;'TPD Calculator'!F$10-2,"",IF(I18=64,"",I18+1))</f>
        <v/>
      </c>
      <c r="J19" s="4" t="str">
        <f t="shared" si="2"/>
        <v/>
      </c>
      <c r="K19" s="3" t="str">
        <f>IF(I19="","",'TPD Calculator'!D$13)</f>
        <v/>
      </c>
      <c r="L19" s="3" t="str">
        <f>IF(I19="","",'TPD Calculator'!D$14)</f>
        <v/>
      </c>
      <c r="M19" s="5" t="str">
        <f t="shared" si="5"/>
        <v/>
      </c>
      <c r="N19" s="1" t="str">
        <f t="shared" si="3"/>
        <v/>
      </c>
    </row>
    <row r="20" spans="1:14" x14ac:dyDescent="0.25">
      <c r="A20" t="str">
        <f>IF(A19&gt;'TPD Calculator'!F$6-2,"",A19+1)</f>
        <v/>
      </c>
      <c r="B20" s="4" t="str">
        <f t="shared" si="6"/>
        <v/>
      </c>
      <c r="C20" s="3" t="str">
        <f>IF(A20="","",'TPD Calculator'!D$13)</f>
        <v/>
      </c>
      <c r="D20" s="3" t="str">
        <f>IF(A20="","",'TPD Calculator'!D$14)</f>
        <v/>
      </c>
      <c r="E20" s="5" t="str">
        <f t="shared" si="7"/>
        <v/>
      </c>
      <c r="F20" s="1" t="str">
        <f t="shared" si="8"/>
        <v/>
      </c>
      <c r="I20" t="str">
        <f>IF(I19&gt;'TPD Calculator'!F$10-2,"",IF(I19=64,"",I19+1))</f>
        <v/>
      </c>
      <c r="J20" s="4" t="str">
        <f t="shared" si="2"/>
        <v/>
      </c>
      <c r="K20" s="3" t="str">
        <f>IF(I20="","",'TPD Calculator'!D$13)</f>
        <v/>
      </c>
      <c r="L20" s="3" t="str">
        <f>IF(I20="","",'TPD Calculator'!D$14)</f>
        <v/>
      </c>
      <c r="M20" s="5" t="str">
        <f t="shared" si="5"/>
        <v/>
      </c>
      <c r="N20" s="1" t="str">
        <f t="shared" si="3"/>
        <v/>
      </c>
    </row>
    <row r="21" spans="1:14" x14ac:dyDescent="0.25">
      <c r="A21" t="str">
        <f>IF(A20&gt;'TPD Calculator'!F$6-2,"",A20+1)</f>
        <v/>
      </c>
      <c r="B21" s="4" t="str">
        <f t="shared" si="6"/>
        <v/>
      </c>
      <c r="C21" s="3" t="str">
        <f>IF(A21="","",'TPD Calculator'!D$13)</f>
        <v/>
      </c>
      <c r="D21" s="3" t="str">
        <f>IF(A21="","",'TPD Calculator'!D$14)</f>
        <v/>
      </c>
      <c r="E21" s="5" t="str">
        <f t="shared" si="7"/>
        <v/>
      </c>
      <c r="F21" s="1" t="str">
        <f t="shared" si="8"/>
        <v/>
      </c>
      <c r="I21" t="str">
        <f>IF(I20&gt;'TPD Calculator'!F$10-2,"",IF(I20=64,"",I20+1))</f>
        <v/>
      </c>
      <c r="J21" s="4" t="str">
        <f t="shared" si="2"/>
        <v/>
      </c>
      <c r="K21" s="3" t="str">
        <f>IF(I21="","",'TPD Calculator'!D$13)</f>
        <v/>
      </c>
      <c r="L21" s="3" t="str">
        <f>IF(I21="","",'TPD Calculator'!D$14)</f>
        <v/>
      </c>
      <c r="M21" s="5" t="str">
        <f t="shared" si="5"/>
        <v/>
      </c>
      <c r="N21" s="1" t="str">
        <f t="shared" si="3"/>
        <v/>
      </c>
    </row>
    <row r="22" spans="1:14" x14ac:dyDescent="0.25">
      <c r="A22" t="str">
        <f>IF(A21&gt;'TPD Calculator'!F$6-2,"",A21+1)</f>
        <v/>
      </c>
      <c r="B22" s="4" t="str">
        <f t="shared" si="6"/>
        <v/>
      </c>
      <c r="C22" s="3" t="str">
        <f>IF(A22="","",'TPD Calculator'!D$13)</f>
        <v/>
      </c>
      <c r="D22" s="3" t="str">
        <f>IF(A22="","",'TPD Calculator'!D$14)</f>
        <v/>
      </c>
      <c r="E22" s="5" t="str">
        <f t="shared" si="7"/>
        <v/>
      </c>
      <c r="F22" s="1" t="str">
        <f t="shared" si="8"/>
        <v/>
      </c>
      <c r="I22" t="str">
        <f>IF(I21&gt;'TPD Calculator'!F$10-2,"",IF(I21=64,"",I21+1))</f>
        <v/>
      </c>
      <c r="J22" s="4" t="str">
        <f t="shared" si="2"/>
        <v/>
      </c>
      <c r="K22" s="3" t="str">
        <f>IF(I22="","",'TPD Calculator'!D$13)</f>
        <v/>
      </c>
      <c r="L22" s="3" t="str">
        <f>IF(I22="","",'TPD Calculator'!D$14)</f>
        <v/>
      </c>
      <c r="M22" s="5" t="str">
        <f t="shared" si="5"/>
        <v/>
      </c>
      <c r="N22" s="1" t="str">
        <f t="shared" si="3"/>
        <v/>
      </c>
    </row>
    <row r="23" spans="1:14" x14ac:dyDescent="0.25">
      <c r="A23" t="str">
        <f>IF(A22&gt;'TPD Calculator'!F$6-2,"",A22+1)</f>
        <v/>
      </c>
      <c r="B23" s="4" t="str">
        <f t="shared" si="6"/>
        <v/>
      </c>
      <c r="C23" s="3" t="str">
        <f>IF(A23="","",'TPD Calculator'!D$13)</f>
        <v/>
      </c>
      <c r="D23" s="3" t="str">
        <f>IF(A23="","",'TPD Calculator'!D$14)</f>
        <v/>
      </c>
      <c r="E23" s="5" t="str">
        <f t="shared" si="7"/>
        <v/>
      </c>
      <c r="F23" s="1" t="str">
        <f t="shared" si="8"/>
        <v/>
      </c>
      <c r="I23" t="str">
        <f>IF(I22&gt;'TPD Calculator'!F$10-2,"",IF(I22=64,"",I22+1))</f>
        <v/>
      </c>
      <c r="J23" s="4" t="str">
        <f t="shared" si="2"/>
        <v/>
      </c>
      <c r="K23" s="3" t="str">
        <f>IF(I23="","",'TPD Calculator'!D$13)</f>
        <v/>
      </c>
      <c r="L23" s="3" t="str">
        <f>IF(I23="","",'TPD Calculator'!D$14)</f>
        <v/>
      </c>
      <c r="M23" s="5" t="str">
        <f t="shared" si="5"/>
        <v/>
      </c>
      <c r="N23" s="1" t="str">
        <f t="shared" si="3"/>
        <v/>
      </c>
    </row>
    <row r="24" spans="1:14" x14ac:dyDescent="0.25">
      <c r="A24" t="str">
        <f>IF(A23&gt;'TPD Calculator'!F$6-2,"",A23+1)</f>
        <v/>
      </c>
      <c r="B24" s="4" t="str">
        <f t="shared" si="6"/>
        <v/>
      </c>
      <c r="C24" s="3" t="str">
        <f>IF(A24="","",'TPD Calculator'!D$13)</f>
        <v/>
      </c>
      <c r="D24" s="3" t="str">
        <f>IF(A24="","",'TPD Calculator'!D$14)</f>
        <v/>
      </c>
      <c r="E24" s="5" t="str">
        <f t="shared" si="7"/>
        <v/>
      </c>
      <c r="F24" s="1" t="str">
        <f t="shared" si="8"/>
        <v/>
      </c>
      <c r="I24" t="str">
        <f>IF(I23&gt;'TPD Calculator'!F$10-2,"",IF(I23=64,"",I23+1))</f>
        <v/>
      </c>
      <c r="J24" s="4" t="str">
        <f t="shared" si="2"/>
        <v/>
      </c>
      <c r="K24" s="3" t="str">
        <f>IF(I24="","",'TPD Calculator'!D$13)</f>
        <v/>
      </c>
      <c r="L24" s="3" t="str">
        <f>IF(I24="","",'TPD Calculator'!D$14)</f>
        <v/>
      </c>
      <c r="M24" s="5" t="str">
        <f t="shared" si="5"/>
        <v/>
      </c>
      <c r="N24" s="1" t="str">
        <f t="shared" si="3"/>
        <v/>
      </c>
    </row>
    <row r="25" spans="1:14" x14ac:dyDescent="0.25">
      <c r="A25" t="str">
        <f>IF(A24&gt;'TPD Calculator'!F$6-2,"",A24+1)</f>
        <v/>
      </c>
      <c r="B25" s="4" t="str">
        <f t="shared" si="6"/>
        <v/>
      </c>
      <c r="C25" s="3" t="str">
        <f>IF(A25="","",'TPD Calculator'!D$13)</f>
        <v/>
      </c>
      <c r="D25" s="3" t="str">
        <f>IF(A25="","",'TPD Calculator'!D$14)</f>
        <v/>
      </c>
      <c r="E25" s="5" t="str">
        <f t="shared" si="7"/>
        <v/>
      </c>
      <c r="F25" s="1" t="str">
        <f t="shared" si="8"/>
        <v/>
      </c>
      <c r="I25" t="str">
        <f>IF(I24&gt;'TPD Calculator'!F$10-2,"",IF(I24=64,"",I24+1))</f>
        <v/>
      </c>
      <c r="J25" s="4" t="str">
        <f t="shared" si="2"/>
        <v/>
      </c>
      <c r="K25" s="3" t="str">
        <f>IF(I25="","",'TPD Calculator'!D$13)</f>
        <v/>
      </c>
      <c r="L25" s="3" t="str">
        <f>IF(I25="","",'TPD Calculator'!D$14)</f>
        <v/>
      </c>
      <c r="M25" s="5" t="str">
        <f t="shared" si="5"/>
        <v/>
      </c>
      <c r="N25" s="1" t="str">
        <f t="shared" si="3"/>
        <v/>
      </c>
    </row>
    <row r="26" spans="1:14" x14ac:dyDescent="0.25">
      <c r="A26" t="str">
        <f>IF(A25&gt;'TPD Calculator'!F$6-2,"",A25+1)</f>
        <v/>
      </c>
      <c r="B26" s="4" t="str">
        <f t="shared" si="6"/>
        <v/>
      </c>
      <c r="C26" s="3" t="str">
        <f>IF(A26="","",'TPD Calculator'!D$13)</f>
        <v/>
      </c>
      <c r="D26" s="3" t="str">
        <f>IF(A26="","",'TPD Calculator'!D$14)</f>
        <v/>
      </c>
      <c r="E26" s="5" t="str">
        <f t="shared" si="7"/>
        <v/>
      </c>
      <c r="F26" s="1" t="str">
        <f t="shared" si="8"/>
        <v/>
      </c>
      <c r="I26" t="str">
        <f>IF(I25&gt;'TPD Calculator'!F$10-2,"",IF(I25=64,"",I25+1))</f>
        <v/>
      </c>
      <c r="J26" s="4" t="str">
        <f t="shared" si="2"/>
        <v/>
      </c>
      <c r="K26" s="3" t="str">
        <f>IF(I26="","",'TPD Calculator'!D$13)</f>
        <v/>
      </c>
      <c r="L26" s="3" t="str">
        <f>IF(I26="","",'TPD Calculator'!D$14)</f>
        <v/>
      </c>
      <c r="M26" s="5" t="str">
        <f t="shared" si="5"/>
        <v/>
      </c>
      <c r="N26" s="1" t="str">
        <f t="shared" si="3"/>
        <v/>
      </c>
    </row>
    <row r="27" spans="1:14" x14ac:dyDescent="0.25">
      <c r="A27" t="str">
        <f>IF(A26&gt;'TPD Calculator'!F$6-2,"",A26+1)</f>
        <v/>
      </c>
      <c r="B27" s="4" t="str">
        <f t="shared" si="6"/>
        <v/>
      </c>
      <c r="C27" s="3" t="str">
        <f>IF(A27="","",'TPD Calculator'!D$13)</f>
        <v/>
      </c>
      <c r="D27" s="3" t="str">
        <f>IF(A27="","",'TPD Calculator'!D$14)</f>
        <v/>
      </c>
      <c r="E27" s="5" t="str">
        <f t="shared" si="7"/>
        <v/>
      </c>
      <c r="F27" s="1" t="str">
        <f t="shared" si="8"/>
        <v/>
      </c>
      <c r="I27" t="str">
        <f>IF(I26&gt;'TPD Calculator'!F$10-2,"",IF(I26=64,"",I26+1))</f>
        <v/>
      </c>
      <c r="J27" s="4" t="str">
        <f t="shared" si="2"/>
        <v/>
      </c>
      <c r="K27" s="3" t="str">
        <f>IF(I27="","",'TPD Calculator'!D$13)</f>
        <v/>
      </c>
      <c r="L27" s="3" t="str">
        <f>IF(I27="","",'TPD Calculator'!D$14)</f>
        <v/>
      </c>
      <c r="M27" s="5" t="str">
        <f t="shared" si="5"/>
        <v/>
      </c>
      <c r="N27" s="1" t="str">
        <f t="shared" si="3"/>
        <v/>
      </c>
    </row>
    <row r="28" spans="1:14" x14ac:dyDescent="0.25">
      <c r="A28" t="str">
        <f>IF(A27&gt;'TPD Calculator'!F$6-2,"",A27+1)</f>
        <v/>
      </c>
      <c r="B28" s="4" t="str">
        <f t="shared" si="6"/>
        <v/>
      </c>
      <c r="C28" s="3" t="str">
        <f>IF(A28="","",'TPD Calculator'!D$13)</f>
        <v/>
      </c>
      <c r="D28" s="3" t="str">
        <f>IF(A28="","",'TPD Calculator'!D$14)</f>
        <v/>
      </c>
      <c r="E28" s="5" t="str">
        <f t="shared" si="7"/>
        <v/>
      </c>
      <c r="F28" s="1" t="str">
        <f t="shared" si="8"/>
        <v/>
      </c>
      <c r="I28" t="str">
        <f>IF(I27&gt;'TPD Calculator'!F$10-2,"",IF(I27=64,"",I27+1))</f>
        <v/>
      </c>
      <c r="J28" s="4" t="str">
        <f t="shared" si="2"/>
        <v/>
      </c>
      <c r="K28" s="3" t="str">
        <f>IF(I28="","",'TPD Calculator'!D$13)</f>
        <v/>
      </c>
      <c r="L28" s="3" t="str">
        <f>IF(I28="","",'TPD Calculator'!D$14)</f>
        <v/>
      </c>
      <c r="M28" s="5" t="str">
        <f t="shared" si="5"/>
        <v/>
      </c>
      <c r="N28" s="1" t="str">
        <f t="shared" si="3"/>
        <v/>
      </c>
    </row>
    <row r="29" spans="1:14" x14ac:dyDescent="0.25">
      <c r="A29" t="str">
        <f>IF(A28&gt;'TPD Calculator'!F$6-2,"",A28+1)</f>
        <v/>
      </c>
      <c r="B29" s="4" t="str">
        <f t="shared" si="6"/>
        <v/>
      </c>
      <c r="C29" s="3" t="str">
        <f>IF(A29="","",'TPD Calculator'!D$13)</f>
        <v/>
      </c>
      <c r="D29" s="3" t="str">
        <f>IF(A29="","",'TPD Calculator'!D$14)</f>
        <v/>
      </c>
      <c r="E29" s="5" t="str">
        <f t="shared" si="7"/>
        <v/>
      </c>
      <c r="F29" s="1" t="str">
        <f t="shared" si="8"/>
        <v/>
      </c>
      <c r="I29" t="str">
        <f>IF(I28&gt;'TPD Calculator'!F$10-2,"",IF(I28=64,"",I28+1))</f>
        <v/>
      </c>
      <c r="J29" s="4" t="str">
        <f t="shared" si="2"/>
        <v/>
      </c>
      <c r="K29" s="3" t="str">
        <f>IF(I29="","",'TPD Calculator'!D$13)</f>
        <v/>
      </c>
      <c r="L29" s="3" t="str">
        <f>IF(I29="","",'TPD Calculator'!D$14)</f>
        <v/>
      </c>
      <c r="M29" s="5" t="str">
        <f t="shared" si="5"/>
        <v/>
      </c>
      <c r="N29" s="1" t="str">
        <f t="shared" si="3"/>
        <v/>
      </c>
    </row>
    <row r="30" spans="1:14" x14ac:dyDescent="0.25">
      <c r="A30" t="str">
        <f>IF(A29&gt;'TPD Calculator'!F$6-2,"",A29+1)</f>
        <v/>
      </c>
      <c r="B30" s="4" t="str">
        <f t="shared" si="6"/>
        <v/>
      </c>
      <c r="C30" s="3" t="str">
        <f>IF(A30="","",'TPD Calculator'!D$13)</f>
        <v/>
      </c>
      <c r="D30" s="3" t="str">
        <f>IF(A30="","",'TPD Calculator'!D$14)</f>
        <v/>
      </c>
      <c r="E30" s="5" t="str">
        <f t="shared" si="7"/>
        <v/>
      </c>
      <c r="F30" s="1" t="str">
        <f t="shared" si="8"/>
        <v/>
      </c>
      <c r="I30" t="str">
        <f>IF(I29&gt;'TPD Calculator'!F$10-2,"",IF(I29=64,"",I29+1))</f>
        <v/>
      </c>
      <c r="J30" s="4" t="str">
        <f t="shared" si="2"/>
        <v/>
      </c>
      <c r="K30" s="3" t="str">
        <f>IF(I30="","",'TPD Calculator'!D$13)</f>
        <v/>
      </c>
      <c r="L30" s="3" t="str">
        <f>IF(I30="","",'TPD Calculator'!D$14)</f>
        <v/>
      </c>
      <c r="M30" s="5" t="str">
        <f t="shared" si="5"/>
        <v/>
      </c>
      <c r="N30" s="1" t="str">
        <f t="shared" si="3"/>
        <v/>
      </c>
    </row>
    <row r="31" spans="1:14" x14ac:dyDescent="0.25">
      <c r="A31" t="str">
        <f>IF(A30&gt;'TPD Calculator'!F$6-2,"",A30+1)</f>
        <v/>
      </c>
      <c r="B31" s="4" t="str">
        <f t="shared" si="6"/>
        <v/>
      </c>
      <c r="C31" s="3" t="str">
        <f>IF(A31="","",'TPD Calculator'!D$13)</f>
        <v/>
      </c>
      <c r="D31" s="3" t="str">
        <f>IF(A31="","",'TPD Calculator'!D$14)</f>
        <v/>
      </c>
      <c r="E31" s="5" t="str">
        <f t="shared" si="7"/>
        <v/>
      </c>
      <c r="F31" s="1" t="str">
        <f t="shared" si="8"/>
        <v/>
      </c>
      <c r="I31" t="str">
        <f>IF(I30&gt;'TPD Calculator'!F$10-2,"",IF(I30=64,"",I30+1))</f>
        <v/>
      </c>
      <c r="J31" s="4" t="str">
        <f t="shared" si="2"/>
        <v/>
      </c>
      <c r="K31" s="3" t="str">
        <f>IF(I31="","",'TPD Calculator'!D$13)</f>
        <v/>
      </c>
      <c r="L31" s="3" t="str">
        <f>IF(I31="","",'TPD Calculator'!D$14)</f>
        <v/>
      </c>
      <c r="M31" s="5" t="str">
        <f t="shared" si="5"/>
        <v/>
      </c>
      <c r="N31" s="1" t="str">
        <f t="shared" si="3"/>
        <v/>
      </c>
    </row>
    <row r="32" spans="1:14" x14ac:dyDescent="0.25">
      <c r="A32" t="str">
        <f>IF(A31&gt;'TPD Calculator'!F$6-2,"",A31+1)</f>
        <v/>
      </c>
      <c r="B32" s="4" t="str">
        <f t="shared" si="6"/>
        <v/>
      </c>
      <c r="C32" s="3" t="str">
        <f>IF(A32="","",'TPD Calculator'!D$13)</f>
        <v/>
      </c>
      <c r="D32" s="3" t="str">
        <f>IF(A32="","",'TPD Calculator'!D$14)</f>
        <v/>
      </c>
      <c r="E32" s="5" t="str">
        <f t="shared" si="7"/>
        <v/>
      </c>
      <c r="F32" s="1" t="str">
        <f t="shared" si="8"/>
        <v/>
      </c>
      <c r="I32" t="str">
        <f>IF(I31&gt;'TPD Calculator'!F$10-2,"",IF(I31=64,"",I31+1))</f>
        <v/>
      </c>
      <c r="J32" s="4" t="str">
        <f t="shared" si="2"/>
        <v/>
      </c>
      <c r="K32" s="3" t="str">
        <f>IF(I32="","",'TPD Calculator'!D$13)</f>
        <v/>
      </c>
      <c r="L32" s="3" t="str">
        <f>IF(I32="","",'TPD Calculator'!D$14)</f>
        <v/>
      </c>
      <c r="M32" s="5" t="str">
        <f t="shared" si="5"/>
        <v/>
      </c>
      <c r="N32" s="1" t="str">
        <f t="shared" si="3"/>
        <v/>
      </c>
    </row>
    <row r="33" spans="1:14" x14ac:dyDescent="0.25">
      <c r="A33" t="str">
        <f>IF(A32&gt;'TPD Calculator'!F$6-2,"",A32+1)</f>
        <v/>
      </c>
      <c r="B33" s="4" t="str">
        <f t="shared" si="6"/>
        <v/>
      </c>
      <c r="C33" s="3" t="str">
        <f>IF(A33="","",'TPD Calculator'!D$13)</f>
        <v/>
      </c>
      <c r="D33" s="3" t="str">
        <f>IF(A33="","",'TPD Calculator'!D$14)</f>
        <v/>
      </c>
      <c r="E33" s="5" t="str">
        <f t="shared" si="7"/>
        <v/>
      </c>
      <c r="F33" s="1" t="str">
        <f t="shared" si="8"/>
        <v/>
      </c>
      <c r="I33" t="str">
        <f>IF(I32&gt;'TPD Calculator'!F$10-2,"",IF(I32=64,"",I32+1))</f>
        <v/>
      </c>
      <c r="J33" s="4" t="str">
        <f t="shared" si="2"/>
        <v/>
      </c>
      <c r="K33" s="3" t="str">
        <f>IF(I33="","",'TPD Calculator'!D$13)</f>
        <v/>
      </c>
      <c r="L33" s="3" t="str">
        <f>IF(I33="","",'TPD Calculator'!D$14)</f>
        <v/>
      </c>
      <c r="M33" s="5" t="str">
        <f t="shared" si="5"/>
        <v/>
      </c>
      <c r="N33" s="1" t="str">
        <f t="shared" si="3"/>
        <v/>
      </c>
    </row>
    <row r="34" spans="1:14" x14ac:dyDescent="0.25">
      <c r="A34" t="str">
        <f>IF(A33&gt;'TPD Calculator'!F$6-2,"",A33+1)</f>
        <v/>
      </c>
      <c r="B34" s="4" t="str">
        <f t="shared" si="6"/>
        <v/>
      </c>
      <c r="C34" s="3" t="str">
        <f>IF(A34="","",'TPD Calculator'!D$13)</f>
        <v/>
      </c>
      <c r="D34" s="3" t="str">
        <f>IF(A34="","",'TPD Calculator'!D$14)</f>
        <v/>
      </c>
      <c r="E34" s="5" t="str">
        <f t="shared" si="7"/>
        <v/>
      </c>
      <c r="F34" s="1" t="str">
        <f t="shared" si="8"/>
        <v/>
      </c>
      <c r="I34" t="str">
        <f>IF(I33&gt;'TPD Calculator'!F$10-2,"",IF(I33=64,"",I33+1))</f>
        <v/>
      </c>
      <c r="J34" s="4" t="str">
        <f t="shared" si="2"/>
        <v/>
      </c>
      <c r="K34" s="3" t="str">
        <f>IF(I34="","",'TPD Calculator'!D$13)</f>
        <v/>
      </c>
      <c r="L34" s="3" t="str">
        <f>IF(I34="","",'TPD Calculator'!D$14)</f>
        <v/>
      </c>
      <c r="M34" s="5" t="str">
        <f t="shared" si="5"/>
        <v/>
      </c>
      <c r="N34" s="1" t="str">
        <f t="shared" si="3"/>
        <v/>
      </c>
    </row>
    <row r="35" spans="1:14" x14ac:dyDescent="0.25">
      <c r="A35" t="str">
        <f>IF(A34&gt;'TPD Calculator'!F$6-2,"",A34+1)</f>
        <v/>
      </c>
      <c r="B35" s="4" t="str">
        <f t="shared" si="6"/>
        <v/>
      </c>
      <c r="C35" s="3" t="str">
        <f>IF(A35="","",'TPD Calculator'!D$13)</f>
        <v/>
      </c>
      <c r="D35" s="3" t="str">
        <f>IF(A35="","",'TPD Calculator'!D$14)</f>
        <v/>
      </c>
      <c r="E35" s="5" t="str">
        <f t="shared" si="7"/>
        <v/>
      </c>
      <c r="F35" s="1" t="str">
        <f t="shared" si="8"/>
        <v/>
      </c>
      <c r="I35" t="str">
        <f>IF(I34&gt;'TPD Calculator'!F$10-2,"",IF(I34=64,"",I34+1))</f>
        <v/>
      </c>
      <c r="J35" s="4" t="str">
        <f t="shared" si="2"/>
        <v/>
      </c>
      <c r="K35" s="3" t="str">
        <f>IF(I35="","",'TPD Calculator'!D$13)</f>
        <v/>
      </c>
      <c r="L35" s="3" t="str">
        <f>IF(I35="","",'TPD Calculator'!D$14)</f>
        <v/>
      </c>
      <c r="M35" s="5" t="str">
        <f t="shared" si="5"/>
        <v/>
      </c>
      <c r="N35" s="1" t="str">
        <f t="shared" si="3"/>
        <v/>
      </c>
    </row>
    <row r="36" spans="1:14" x14ac:dyDescent="0.25">
      <c r="A36" t="str">
        <f>IF(A35&gt;'TPD Calculator'!F$6-2,"",A35+1)</f>
        <v/>
      </c>
      <c r="B36" s="4" t="str">
        <f t="shared" si="6"/>
        <v/>
      </c>
      <c r="C36" s="3" t="str">
        <f>IF(A36="","",'TPD Calculator'!D$13)</f>
        <v/>
      </c>
      <c r="D36" s="3" t="str">
        <f>IF(A36="","",'TPD Calculator'!D$14)</f>
        <v/>
      </c>
      <c r="E36" s="5" t="str">
        <f t="shared" si="7"/>
        <v/>
      </c>
      <c r="F36" s="1" t="str">
        <f t="shared" si="8"/>
        <v/>
      </c>
      <c r="I36" t="str">
        <f>IF(I35&gt;'TPD Calculator'!F$10-2,"",IF(I35=64,"",I35+1))</f>
        <v/>
      </c>
      <c r="J36" s="4" t="str">
        <f t="shared" si="2"/>
        <v/>
      </c>
      <c r="K36" s="3" t="str">
        <f>IF(I36="","",'TPD Calculator'!D$13)</f>
        <v/>
      </c>
      <c r="L36" s="3" t="str">
        <f>IF(I36="","",'TPD Calculator'!D$14)</f>
        <v/>
      </c>
      <c r="M36" s="5" t="str">
        <f t="shared" si="5"/>
        <v/>
      </c>
      <c r="N36" s="1" t="str">
        <f t="shared" si="3"/>
        <v/>
      </c>
    </row>
    <row r="37" spans="1:14" x14ac:dyDescent="0.25">
      <c r="A37" t="str">
        <f>IF(A36&gt;'TPD Calculator'!F$6-2,"",A36+1)</f>
        <v/>
      </c>
      <c r="B37" s="4" t="str">
        <f t="shared" si="6"/>
        <v/>
      </c>
      <c r="C37" s="3" t="str">
        <f>IF(A37="","",'TPD Calculator'!D$13)</f>
        <v/>
      </c>
      <c r="D37" s="3" t="str">
        <f>IF(A37="","",'TPD Calculator'!D$14)</f>
        <v/>
      </c>
      <c r="E37" s="5" t="str">
        <f t="shared" si="7"/>
        <v/>
      </c>
      <c r="F37" s="1" t="str">
        <f t="shared" si="8"/>
        <v/>
      </c>
      <c r="I37" t="str">
        <f>IF(I36&gt;'TPD Calculator'!F$10-2,"",IF(I36=64,"",I36+1))</f>
        <v/>
      </c>
      <c r="J37" s="4" t="str">
        <f t="shared" si="2"/>
        <v/>
      </c>
      <c r="K37" s="3" t="str">
        <f>IF(I37="","",'TPD Calculator'!D$13)</f>
        <v/>
      </c>
      <c r="L37" s="3" t="str">
        <f>IF(I37="","",'TPD Calculator'!D$14)</f>
        <v/>
      </c>
      <c r="M37" s="5" t="str">
        <f t="shared" si="5"/>
        <v/>
      </c>
      <c r="N37" s="1" t="str">
        <f t="shared" si="3"/>
        <v/>
      </c>
    </row>
    <row r="38" spans="1:14" x14ac:dyDescent="0.25">
      <c r="A38" t="str">
        <f>IF(A37&gt;'TPD Calculator'!F$6-2,"",A37+1)</f>
        <v/>
      </c>
      <c r="B38" s="4" t="str">
        <f t="shared" si="6"/>
        <v/>
      </c>
      <c r="C38" s="3" t="str">
        <f>IF(A38="","",'TPD Calculator'!D$13)</f>
        <v/>
      </c>
      <c r="D38" s="3" t="str">
        <f>IF(A38="","",'TPD Calculator'!D$14)</f>
        <v/>
      </c>
      <c r="E38" s="5" t="str">
        <f t="shared" si="7"/>
        <v/>
      </c>
      <c r="F38" s="1" t="str">
        <f t="shared" si="8"/>
        <v/>
      </c>
      <c r="I38" t="str">
        <f>IF(I37&gt;'TPD Calculator'!F$10-2,"",IF(I37=64,"",I37+1))</f>
        <v/>
      </c>
      <c r="J38" s="4" t="str">
        <f t="shared" si="2"/>
        <v/>
      </c>
      <c r="K38" s="3" t="str">
        <f>IF(I38="","",'TPD Calculator'!D$13)</f>
        <v/>
      </c>
      <c r="L38" s="3" t="str">
        <f>IF(I38="","",'TPD Calculator'!D$14)</f>
        <v/>
      </c>
      <c r="M38" s="5" t="str">
        <f t="shared" si="5"/>
        <v/>
      </c>
      <c r="N38" s="1" t="str">
        <f t="shared" si="3"/>
        <v/>
      </c>
    </row>
    <row r="39" spans="1:14" x14ac:dyDescent="0.25">
      <c r="A39" t="str">
        <f>IF(A38&gt;'TPD Calculator'!F$6-2,"",A38+1)</f>
        <v/>
      </c>
      <c r="B39" s="4" t="str">
        <f t="shared" si="6"/>
        <v/>
      </c>
      <c r="C39" s="3" t="str">
        <f>IF(A39="","",'TPD Calculator'!D$13)</f>
        <v/>
      </c>
      <c r="D39" s="3" t="str">
        <f>IF(A39="","",'TPD Calculator'!D$14)</f>
        <v/>
      </c>
      <c r="E39" s="5" t="str">
        <f t="shared" si="7"/>
        <v/>
      </c>
      <c r="F39" s="1" t="str">
        <f t="shared" si="8"/>
        <v/>
      </c>
      <c r="I39" t="str">
        <f>IF(I38&gt;'TPD Calculator'!F$10-2,"",IF(I38=64,"",I38+1))</f>
        <v/>
      </c>
      <c r="J39" s="4" t="str">
        <f t="shared" si="2"/>
        <v/>
      </c>
      <c r="K39" s="3" t="str">
        <f>IF(I39="","",'TPD Calculator'!D$13)</f>
        <v/>
      </c>
      <c r="L39" s="3" t="str">
        <f>IF(I39="","",'TPD Calculator'!D$14)</f>
        <v/>
      </c>
      <c r="M39" s="5" t="str">
        <f t="shared" si="5"/>
        <v/>
      </c>
      <c r="N39" s="1" t="str">
        <f t="shared" si="3"/>
        <v/>
      </c>
    </row>
    <row r="40" spans="1:14" x14ac:dyDescent="0.25">
      <c r="A40" t="str">
        <f>IF(A39&gt;'TPD Calculator'!F$6-2,"",A39+1)</f>
        <v/>
      </c>
      <c r="B40" s="4" t="str">
        <f t="shared" si="6"/>
        <v/>
      </c>
      <c r="C40" s="3" t="str">
        <f>IF(A40="","",'TPD Calculator'!D$13)</f>
        <v/>
      </c>
      <c r="D40" s="3" t="str">
        <f>IF(A40="","",'TPD Calculator'!D$14)</f>
        <v/>
      </c>
      <c r="E40" s="5" t="str">
        <f t="shared" si="7"/>
        <v/>
      </c>
      <c r="F40" s="1" t="str">
        <f t="shared" si="8"/>
        <v/>
      </c>
      <c r="I40" t="str">
        <f>IF(I39&gt;'TPD Calculator'!F$10-2,"",IF(I39=64,"",I39+1))</f>
        <v/>
      </c>
      <c r="J40" s="4" t="str">
        <f t="shared" si="2"/>
        <v/>
      </c>
      <c r="K40" s="3" t="str">
        <f>IF(I40="","",'TPD Calculator'!D$13)</f>
        <v/>
      </c>
      <c r="L40" s="3" t="str">
        <f>IF(I40="","",'TPD Calculator'!D$14)</f>
        <v/>
      </c>
      <c r="M40" s="5" t="str">
        <f t="shared" si="5"/>
        <v/>
      </c>
      <c r="N40" s="1" t="str">
        <f t="shared" si="3"/>
        <v/>
      </c>
    </row>
    <row r="41" spans="1:14" x14ac:dyDescent="0.25">
      <c r="A41" t="str">
        <f>IF(A40&gt;'TPD Calculator'!F$6-2,"",A40+1)</f>
        <v/>
      </c>
      <c r="B41" s="4" t="str">
        <f t="shared" si="6"/>
        <v/>
      </c>
      <c r="C41" s="3" t="str">
        <f>IF(A41="","",'TPD Calculator'!D$13)</f>
        <v/>
      </c>
      <c r="D41" s="3" t="str">
        <f>IF(A41="","",'TPD Calculator'!D$14)</f>
        <v/>
      </c>
      <c r="E41" s="5" t="str">
        <f t="shared" si="7"/>
        <v/>
      </c>
      <c r="F41" s="1" t="str">
        <f t="shared" si="8"/>
        <v/>
      </c>
      <c r="I41" t="str">
        <f>IF(I40&gt;'TPD Calculator'!F$10-2,"",IF(I40=64,"",I40+1))</f>
        <v/>
      </c>
      <c r="J41" s="4" t="str">
        <f t="shared" si="2"/>
        <v/>
      </c>
      <c r="K41" s="3" t="str">
        <f>IF(I41="","",'TPD Calculator'!D$13)</f>
        <v/>
      </c>
      <c r="L41" s="3" t="str">
        <f>IF(I41="","",'TPD Calculator'!D$14)</f>
        <v/>
      </c>
      <c r="M41" s="5" t="str">
        <f t="shared" si="5"/>
        <v/>
      </c>
      <c r="N41" s="1" t="str">
        <f t="shared" si="3"/>
        <v/>
      </c>
    </row>
    <row r="42" spans="1:14" x14ac:dyDescent="0.25">
      <c r="A42" t="str">
        <f>IF(A41&gt;'TPD Calculator'!F$6-2,"",A41+1)</f>
        <v/>
      </c>
      <c r="B42" s="4" t="str">
        <f t="shared" si="6"/>
        <v/>
      </c>
      <c r="C42" s="3" t="str">
        <f>IF(A42="","",'TPD Calculator'!D$13)</f>
        <v/>
      </c>
      <c r="D42" s="3" t="str">
        <f>IF(A42="","",'TPD Calculator'!D$14)</f>
        <v/>
      </c>
      <c r="E42" s="5" t="str">
        <f t="shared" si="7"/>
        <v/>
      </c>
      <c r="F42" s="1" t="str">
        <f t="shared" si="8"/>
        <v/>
      </c>
      <c r="I42" t="str">
        <f>IF(I41&gt;'TPD Calculator'!F$10-2,"",IF(I41=64,"",I41+1))</f>
        <v/>
      </c>
      <c r="J42" s="4" t="str">
        <f t="shared" si="2"/>
        <v/>
      </c>
      <c r="K42" s="3" t="str">
        <f>IF(I42="","",'TPD Calculator'!D$13)</f>
        <v/>
      </c>
      <c r="L42" s="3" t="str">
        <f>IF(I42="","",'TPD Calculator'!D$14)</f>
        <v/>
      </c>
      <c r="M42" s="5" t="str">
        <f t="shared" si="5"/>
        <v/>
      </c>
      <c r="N42" s="1" t="str">
        <f t="shared" si="3"/>
        <v/>
      </c>
    </row>
    <row r="43" spans="1:14" x14ac:dyDescent="0.25">
      <c r="A43" t="str">
        <f>IF(A42&gt;'TPD Calculator'!F$6-2,"",A42+1)</f>
        <v/>
      </c>
      <c r="B43" s="4" t="str">
        <f t="shared" si="6"/>
        <v/>
      </c>
      <c r="C43" s="3" t="str">
        <f>IF(A43="","",'TPD Calculator'!D$13)</f>
        <v/>
      </c>
      <c r="D43" s="3" t="str">
        <f>IF(A43="","",'TPD Calculator'!D$14)</f>
        <v/>
      </c>
      <c r="E43" s="5" t="str">
        <f t="shared" si="7"/>
        <v/>
      </c>
      <c r="F43" s="1" t="str">
        <f t="shared" si="8"/>
        <v/>
      </c>
      <c r="I43" t="str">
        <f>IF(I42&gt;'TPD Calculator'!F$10-2,"",IF(I42=64,"",I42+1))</f>
        <v/>
      </c>
      <c r="J43" s="4" t="str">
        <f t="shared" si="2"/>
        <v/>
      </c>
      <c r="K43" s="3" t="str">
        <f>IF(I43="","",'TPD Calculator'!D$13)</f>
        <v/>
      </c>
      <c r="L43" s="3" t="str">
        <f>IF(I43="","",'TPD Calculator'!D$14)</f>
        <v/>
      </c>
      <c r="M43" s="5" t="str">
        <f t="shared" si="5"/>
        <v/>
      </c>
      <c r="N43" s="1" t="str">
        <f t="shared" si="3"/>
        <v/>
      </c>
    </row>
    <row r="44" spans="1:14" x14ac:dyDescent="0.25">
      <c r="A44" t="str">
        <f>IF(A43&gt;'TPD Calculator'!F$6-2,"",A43+1)</f>
        <v/>
      </c>
      <c r="B44" s="4" t="str">
        <f t="shared" si="6"/>
        <v/>
      </c>
      <c r="C44" s="3" t="str">
        <f>IF(A44="","",'TPD Calculator'!D$13)</f>
        <v/>
      </c>
      <c r="D44" s="3" t="str">
        <f>IF(A44="","",'TPD Calculator'!D$14)</f>
        <v/>
      </c>
      <c r="E44" s="5" t="str">
        <f t="shared" si="7"/>
        <v/>
      </c>
      <c r="F44" s="1" t="str">
        <f t="shared" si="8"/>
        <v/>
      </c>
      <c r="I44" t="str">
        <f>IF(I43&gt;'TPD Calculator'!F$10-2,"",IF(I43=64,"",I43+1))</f>
        <v/>
      </c>
      <c r="J44" s="4" t="str">
        <f t="shared" si="2"/>
        <v/>
      </c>
      <c r="K44" s="3" t="str">
        <f>IF(I44="","",'TPD Calculator'!D$13)</f>
        <v/>
      </c>
      <c r="L44" s="3" t="str">
        <f>IF(I44="","",'TPD Calculator'!D$14)</f>
        <v/>
      </c>
      <c r="M44" s="5" t="str">
        <f t="shared" si="5"/>
        <v/>
      </c>
      <c r="N44" s="1" t="str">
        <f t="shared" si="3"/>
        <v/>
      </c>
    </row>
    <row r="45" spans="1:14" x14ac:dyDescent="0.25">
      <c r="A45" t="str">
        <f>IF(A44&gt;'TPD Calculator'!F$6-2,"",A44+1)</f>
        <v/>
      </c>
      <c r="B45" s="4" t="str">
        <f t="shared" si="6"/>
        <v/>
      </c>
      <c r="C45" s="3" t="str">
        <f>IF(A45="","",'TPD Calculator'!D$13)</f>
        <v/>
      </c>
      <c r="D45" s="3" t="str">
        <f>IF(A45="","",'TPD Calculator'!D$14)</f>
        <v/>
      </c>
      <c r="E45" s="5" t="str">
        <f t="shared" si="7"/>
        <v/>
      </c>
      <c r="F45" s="1" t="str">
        <f t="shared" si="8"/>
        <v/>
      </c>
      <c r="I45" t="str">
        <f>IF(I44&gt;'TPD Calculator'!F$10-2,"",IF(I44=64,"",I44+1))</f>
        <v/>
      </c>
      <c r="J45" s="4" t="str">
        <f t="shared" si="2"/>
        <v/>
      </c>
      <c r="K45" s="3" t="str">
        <f>IF(I45="","",'TPD Calculator'!D$13)</f>
        <v/>
      </c>
      <c r="L45" s="3" t="str">
        <f>IF(I45="","",'TPD Calculator'!D$14)</f>
        <v/>
      </c>
      <c r="M45" s="5" t="str">
        <f t="shared" si="5"/>
        <v/>
      </c>
      <c r="N45" s="1" t="str">
        <f t="shared" si="3"/>
        <v/>
      </c>
    </row>
    <row r="46" spans="1:14" x14ac:dyDescent="0.25">
      <c r="A46" t="str">
        <f>IF(A45&gt;'TPD Calculator'!F$6-2,"",A45+1)</f>
        <v/>
      </c>
      <c r="B46" s="4" t="str">
        <f t="shared" si="6"/>
        <v/>
      </c>
      <c r="C46" s="3" t="str">
        <f>IF(A46="","",'TPD Calculator'!D$13)</f>
        <v/>
      </c>
      <c r="D46" s="3" t="str">
        <f>IF(A46="","",'TPD Calculator'!D$14)</f>
        <v/>
      </c>
      <c r="E46" s="5" t="str">
        <f t="shared" si="7"/>
        <v/>
      </c>
      <c r="F46" s="1" t="str">
        <f t="shared" si="8"/>
        <v/>
      </c>
      <c r="I46" t="str">
        <f>IF(I45&gt;'TPD Calculator'!F$10-2,"",IF(I45=64,"",I45+1))</f>
        <v/>
      </c>
      <c r="J46" s="4" t="str">
        <f t="shared" si="2"/>
        <v/>
      </c>
      <c r="K46" s="3" t="str">
        <f>IF(I46="","",'TPD Calculator'!D$13)</f>
        <v/>
      </c>
      <c r="L46" s="3" t="str">
        <f>IF(I46="","",'TPD Calculator'!D$14)</f>
        <v/>
      </c>
      <c r="M46" s="5" t="str">
        <f t="shared" si="5"/>
        <v/>
      </c>
      <c r="N46" s="1" t="str">
        <f t="shared" si="3"/>
        <v/>
      </c>
    </row>
    <row r="47" spans="1:14" x14ac:dyDescent="0.25">
      <c r="A47" t="str">
        <f>IF(A46&gt;'TPD Calculator'!F$6-2,"",A46+1)</f>
        <v/>
      </c>
      <c r="B47" s="4" t="str">
        <f t="shared" si="6"/>
        <v/>
      </c>
      <c r="C47" s="3" t="str">
        <f>IF(A47="","",'TPD Calculator'!D$13)</f>
        <v/>
      </c>
      <c r="D47" s="3" t="str">
        <f>IF(A47="","",'TPD Calculator'!D$14)</f>
        <v/>
      </c>
      <c r="E47" s="5" t="str">
        <f t="shared" si="7"/>
        <v/>
      </c>
      <c r="F47" s="1" t="str">
        <f t="shared" si="8"/>
        <v/>
      </c>
      <c r="I47" t="str">
        <f>IF(I46&gt;'TPD Calculator'!F$10-2,"",IF(I46=64,"",I46+1))</f>
        <v/>
      </c>
      <c r="J47" s="4" t="str">
        <f t="shared" si="2"/>
        <v/>
      </c>
      <c r="K47" s="3" t="str">
        <f>IF(I47="","",'TPD Calculator'!D$13)</f>
        <v/>
      </c>
      <c r="L47" s="3" t="str">
        <f>IF(I47="","",'TPD Calculator'!D$14)</f>
        <v/>
      </c>
      <c r="M47" s="5" t="str">
        <f t="shared" si="5"/>
        <v/>
      </c>
      <c r="N47" s="1" t="str">
        <f t="shared" si="3"/>
        <v/>
      </c>
    </row>
    <row r="48" spans="1:14" x14ac:dyDescent="0.25">
      <c r="A48" t="str">
        <f>IF(A47&gt;'TPD Calculator'!F$6-2,"",A47+1)</f>
        <v/>
      </c>
      <c r="B48" s="4" t="str">
        <f t="shared" si="6"/>
        <v/>
      </c>
      <c r="C48" s="3" t="str">
        <f>IF(A48="","",'TPD Calculator'!D$13)</f>
        <v/>
      </c>
      <c r="D48" s="3" t="str">
        <f>IF(A48="","",'TPD Calculator'!D$14)</f>
        <v/>
      </c>
      <c r="E48" s="5" t="str">
        <f t="shared" si="7"/>
        <v/>
      </c>
      <c r="F48" s="1" t="str">
        <f t="shared" si="8"/>
        <v/>
      </c>
      <c r="I48" t="str">
        <f>IF(I47&gt;'TPD Calculator'!F$10-2,"",IF(I47=64,"",I47+1))</f>
        <v/>
      </c>
      <c r="J48" s="4" t="str">
        <f t="shared" si="2"/>
        <v/>
      </c>
      <c r="K48" s="3" t="str">
        <f>IF(I48="","",'TPD Calculator'!D$13)</f>
        <v/>
      </c>
      <c r="L48" s="3" t="str">
        <f>IF(I48="","",'TPD Calculator'!D$14)</f>
        <v/>
      </c>
      <c r="M48" s="5" t="str">
        <f t="shared" si="5"/>
        <v/>
      </c>
      <c r="N48" s="1" t="str">
        <f t="shared" si="3"/>
        <v/>
      </c>
    </row>
    <row r="49" spans="1:14" x14ac:dyDescent="0.25">
      <c r="A49" t="str">
        <f>IF(A48&gt;'TPD Calculator'!F$6-2,"",A48+1)</f>
        <v/>
      </c>
      <c r="B49" s="4" t="str">
        <f t="shared" si="6"/>
        <v/>
      </c>
      <c r="C49" s="3" t="str">
        <f>IF(A49="","",'TPD Calculator'!D$13)</f>
        <v/>
      </c>
      <c r="D49" s="3" t="str">
        <f>IF(A49="","",'TPD Calculator'!D$14)</f>
        <v/>
      </c>
      <c r="E49" s="5" t="str">
        <f t="shared" si="7"/>
        <v/>
      </c>
      <c r="F49" s="1" t="str">
        <f t="shared" si="8"/>
        <v/>
      </c>
      <c r="I49" t="str">
        <f>IF(I48&gt;'TPD Calculator'!F$10-2,"",IF(I48=64,"",I48+1))</f>
        <v/>
      </c>
      <c r="J49" s="4" t="str">
        <f t="shared" si="2"/>
        <v/>
      </c>
      <c r="K49" s="3" t="str">
        <f>IF(I49="","",'TPD Calculator'!D$13)</f>
        <v/>
      </c>
      <c r="L49" s="3" t="str">
        <f>IF(I49="","",'TPD Calculator'!D$14)</f>
        <v/>
      </c>
      <c r="M49" s="5" t="str">
        <f t="shared" si="5"/>
        <v/>
      </c>
      <c r="N49" s="1" t="str">
        <f t="shared" si="3"/>
        <v/>
      </c>
    </row>
    <row r="50" spans="1:14" x14ac:dyDescent="0.25">
      <c r="A50" t="str">
        <f>IF(A49&gt;'TPD Calculator'!F$6-2,"",A49+1)</f>
        <v/>
      </c>
      <c r="B50" s="4" t="str">
        <f t="shared" si="6"/>
        <v/>
      </c>
      <c r="C50" s="3" t="str">
        <f>IF(A50="","",'TPD Calculator'!D$13)</f>
        <v/>
      </c>
      <c r="D50" s="3" t="str">
        <f>IF(A50="","",'TPD Calculator'!D$14)</f>
        <v/>
      </c>
      <c r="E50" s="5" t="str">
        <f t="shared" si="7"/>
        <v/>
      </c>
      <c r="F50" s="1" t="str">
        <f t="shared" si="8"/>
        <v/>
      </c>
      <c r="I50" t="str">
        <f>IF(I49&gt;'TPD Calculator'!F$10-2,"",IF(I49=64,"",I49+1))</f>
        <v/>
      </c>
      <c r="J50" s="4" t="str">
        <f t="shared" si="2"/>
        <v/>
      </c>
      <c r="K50" s="3" t="str">
        <f>IF(I50="","",'TPD Calculator'!D$13)</f>
        <v/>
      </c>
      <c r="L50" s="3" t="str">
        <f>IF(I50="","",'TPD Calculator'!D$14)</f>
        <v/>
      </c>
      <c r="M50" s="5" t="str">
        <f t="shared" si="5"/>
        <v/>
      </c>
      <c r="N50" s="1" t="str">
        <f t="shared" si="3"/>
        <v/>
      </c>
    </row>
    <row r="51" spans="1:14" x14ac:dyDescent="0.25">
      <c r="A51" t="str">
        <f>IF(A50&gt;'TPD Calculator'!F$6-2,"",A50+1)</f>
        <v/>
      </c>
      <c r="B51" s="4" t="str">
        <f t="shared" si="6"/>
        <v/>
      </c>
      <c r="C51" s="3" t="str">
        <f>IF(A51="","",'TPD Calculator'!D$13)</f>
        <v/>
      </c>
      <c r="D51" s="3" t="str">
        <f>IF(A51="","",'TPD Calculator'!D$14)</f>
        <v/>
      </c>
      <c r="E51" s="5" t="str">
        <f t="shared" si="7"/>
        <v/>
      </c>
      <c r="F51" s="1" t="str">
        <f t="shared" si="8"/>
        <v/>
      </c>
      <c r="I51" t="str">
        <f>IF(I50&gt;'TPD Calculator'!F$10-2,"",IF(I50=64,"",I50+1))</f>
        <v/>
      </c>
      <c r="J51" s="4" t="str">
        <f t="shared" si="2"/>
        <v/>
      </c>
      <c r="K51" s="3" t="str">
        <f>IF(I51="","",'TPD Calculator'!D$13)</f>
        <v/>
      </c>
      <c r="L51" s="3" t="str">
        <f>IF(I51="","",'TPD Calculator'!D$14)</f>
        <v/>
      </c>
      <c r="M51" s="5" t="str">
        <f t="shared" si="5"/>
        <v/>
      </c>
      <c r="N51" s="1" t="str">
        <f t="shared" si="3"/>
        <v/>
      </c>
    </row>
    <row r="52" spans="1:14" x14ac:dyDescent="0.25">
      <c r="A52" t="str">
        <f>IF(A51&gt;'TPD Calculator'!F$6-2,"",A51+1)</f>
        <v/>
      </c>
      <c r="B52" s="4" t="str">
        <f t="shared" si="6"/>
        <v/>
      </c>
      <c r="C52" s="3" t="str">
        <f>IF(A52="","",'TPD Calculator'!D$13)</f>
        <v/>
      </c>
      <c r="D52" s="3" t="str">
        <f>IF(A52="","",'TPD Calculator'!D$14)</f>
        <v/>
      </c>
      <c r="E52" s="5" t="str">
        <f t="shared" si="7"/>
        <v/>
      </c>
      <c r="F52" s="1" t="str">
        <f t="shared" si="8"/>
        <v/>
      </c>
      <c r="I52" t="str">
        <f>IF(I51&gt;'TPD Calculator'!F$10-2,"",IF(I51=64,"",I51+1))</f>
        <v/>
      </c>
      <c r="J52" s="4" t="str">
        <f t="shared" si="2"/>
        <v/>
      </c>
      <c r="K52" s="3" t="str">
        <f>IF(I52="","",'TPD Calculator'!D$13)</f>
        <v/>
      </c>
      <c r="L52" s="3" t="str">
        <f>IF(I52="","",'TPD Calculator'!D$14)</f>
        <v/>
      </c>
      <c r="M52" s="5" t="str">
        <f t="shared" si="5"/>
        <v/>
      </c>
      <c r="N52" s="1" t="str">
        <f t="shared" si="3"/>
        <v/>
      </c>
    </row>
    <row r="53" spans="1:14" x14ac:dyDescent="0.25">
      <c r="A53" t="str">
        <f>IF(A52&gt;'TPD Calculator'!F$6-2,"",A52+1)</f>
        <v/>
      </c>
      <c r="B53" s="4" t="str">
        <f t="shared" si="6"/>
        <v/>
      </c>
      <c r="C53" s="3" t="str">
        <f>IF(A53="","",'TPD Calculator'!D$13)</f>
        <v/>
      </c>
      <c r="D53" s="3" t="str">
        <f>IF(A53="","",'TPD Calculator'!D$14)</f>
        <v/>
      </c>
      <c r="E53" s="5" t="str">
        <f t="shared" si="7"/>
        <v/>
      </c>
      <c r="F53" s="1" t="str">
        <f t="shared" si="8"/>
        <v/>
      </c>
      <c r="I53" t="str">
        <f>IF(I52&gt;'TPD Calculator'!F$10-2,"",IF(I52=64,"",I52+1))</f>
        <v/>
      </c>
      <c r="J53" s="4" t="str">
        <f t="shared" si="2"/>
        <v/>
      </c>
      <c r="K53" s="3" t="str">
        <f>IF(I53="","",'TPD Calculator'!D$13)</f>
        <v/>
      </c>
      <c r="L53" s="3" t="str">
        <f>IF(I53="","",'TPD Calculator'!D$14)</f>
        <v/>
      </c>
      <c r="M53" s="5" t="str">
        <f t="shared" si="5"/>
        <v/>
      </c>
      <c r="N53" s="1" t="str">
        <f t="shared" si="3"/>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06AF-889A-4BFB-87B5-B9FFF6D868B3}">
  <dimension ref="A1:O53"/>
  <sheetViews>
    <sheetView workbookViewId="0">
      <selection activeCell="H2" sqref="H2"/>
    </sheetView>
  </sheetViews>
  <sheetFormatPr defaultRowHeight="15" x14ac:dyDescent="0.25"/>
  <cols>
    <col min="5" max="5" width="10.28515625" bestFit="1" customWidth="1"/>
    <col min="6" max="6" width="17.28515625" bestFit="1" customWidth="1"/>
    <col min="7" max="7" width="12.42578125" style="2" bestFit="1" customWidth="1"/>
    <col min="8" max="8" width="11.140625" bestFit="1" customWidth="1"/>
    <col min="13" max="13" width="10.28515625" bestFit="1" customWidth="1"/>
    <col min="14" max="14" width="17.28515625" bestFit="1" customWidth="1"/>
    <col min="15" max="15" width="12.42578125" style="2" bestFit="1" customWidth="1"/>
  </cols>
  <sheetData>
    <row r="1" spans="1:15" x14ac:dyDescent="0.25">
      <c r="A1" t="s">
        <v>9</v>
      </c>
      <c r="B1" t="s">
        <v>10</v>
      </c>
      <c r="C1" t="s">
        <v>7</v>
      </c>
      <c r="D1" t="s">
        <v>11</v>
      </c>
      <c r="E1" t="s">
        <v>12</v>
      </c>
      <c r="F1" t="s">
        <v>13</v>
      </c>
      <c r="G1" s="2" t="s">
        <v>14</v>
      </c>
      <c r="I1" t="s">
        <v>9</v>
      </c>
      <c r="J1" t="s">
        <v>10</v>
      </c>
      <c r="K1" t="s">
        <v>7</v>
      </c>
      <c r="L1" t="s">
        <v>11</v>
      </c>
      <c r="M1" t="s">
        <v>12</v>
      </c>
      <c r="N1" t="s">
        <v>13</v>
      </c>
      <c r="O1" s="2" t="s">
        <v>14</v>
      </c>
    </row>
    <row r="2" spans="1:15" x14ac:dyDescent="0.25">
      <c r="A2">
        <f>'TPD Calculator (Super)'!D3</f>
        <v>45</v>
      </c>
      <c r="B2" s="4">
        <f>IF(A2="","",'TPD Calculator (Super)'!C8)</f>
        <v>25000</v>
      </c>
      <c r="C2" s="3">
        <f>IF(A2="","",'TPD Calculator (Super)'!D$16)</f>
        <v>2.5000000000000001E-2</v>
      </c>
      <c r="D2" s="3">
        <f>IF(A2="","",'TPD Calculator (Super)'!D$17)</f>
        <v>3.5000000000000003E-2</v>
      </c>
      <c r="E2">
        <f>COUNT(A:A)</f>
        <v>20</v>
      </c>
      <c r="F2" s="1">
        <f>IF(B2="","",B2*(1-D2))</f>
        <v>24125</v>
      </c>
      <c r="G2" s="2">
        <f>IF('TPD Calculator (Super)'!F8&lt;'TPD Calculator (Super)'!D3,0,NPV(D2,B2:B200))</f>
        <v>441218.19860295503</v>
      </c>
      <c r="I2">
        <f>IF('TPD Calculator (Super)'!D3&gt;65,65,'TPD Calculator (Super)'!D3)</f>
        <v>45</v>
      </c>
      <c r="J2" s="4">
        <f>IF(I2="","",'TPD Calculator (Super)'!C12)</f>
        <v>50000</v>
      </c>
      <c r="K2" s="3">
        <f>IF(I2="","",'TPD Calculator (Super)'!D$16)</f>
        <v>2.5000000000000001E-2</v>
      </c>
      <c r="L2" s="3">
        <f>IF(I2="","",'TPD Calculator (Super)'!D$17)</f>
        <v>3.5000000000000003E-2</v>
      </c>
      <c r="M2">
        <f>COUNT(I:I)</f>
        <v>20</v>
      </c>
      <c r="N2" s="1">
        <f>IF(J2="","",J2*(1-L2))</f>
        <v>48250</v>
      </c>
      <c r="O2" s="2">
        <f>IF('TPD Calculator (Super)'!F12&lt;'TPD Calculator (Super)'!D3,0,NPV(L2,J2:J200))</f>
        <v>882436.39720591006</v>
      </c>
    </row>
    <row r="3" spans="1:15" x14ac:dyDescent="0.25">
      <c r="A3">
        <f>IF(A2&gt;'TPD Calculator (Super)'!F$8-2,"",A2+1)</f>
        <v>46</v>
      </c>
      <c r="B3" s="4">
        <f t="shared" ref="B3:B53" si="0">IF(A3="","",B2*(1+C3))</f>
        <v>25624.999999999996</v>
      </c>
      <c r="C3" s="3">
        <f>IF(A3="","",'TPD Calculator (Super)'!D$16)</f>
        <v>2.5000000000000001E-2</v>
      </c>
      <c r="D3" s="3">
        <f>IF(A3="","",'TPD Calculator (Super)'!D$17)</f>
        <v>3.5000000000000003E-2</v>
      </c>
      <c r="E3" s="5">
        <f>IF(E2="","",IF(E2-1=0,"",E2-1))</f>
        <v>19</v>
      </c>
      <c r="F3" s="1">
        <f t="shared" ref="F3:F53" si="1">IF(B3="","",B3*(1-D3))</f>
        <v>24728.124999999996</v>
      </c>
      <c r="I3">
        <f>IF(I2&gt;'TPD Calculator (Super)'!F$12-2,"",IF(I2=64,"",I2+1))</f>
        <v>46</v>
      </c>
      <c r="J3" s="4">
        <f t="shared" ref="J3:J53" si="2">IF(I3="","",J2*(1+K3))</f>
        <v>51249.999999999993</v>
      </c>
      <c r="K3" s="3">
        <f>IF(I3="","",'TPD Calculator (Super)'!D$16)</f>
        <v>2.5000000000000001E-2</v>
      </c>
      <c r="L3" s="3">
        <f>IF(I3="","",'TPD Calculator (Super)'!D$17)</f>
        <v>3.5000000000000003E-2</v>
      </c>
      <c r="M3" s="5">
        <f>IF(M2="","",IF(M2-1=0,"",M2-1))</f>
        <v>19</v>
      </c>
      <c r="N3" s="1">
        <f t="shared" ref="N3:N53" si="3">IF(J3="","",J3*(1-L3))</f>
        <v>49456.249999999993</v>
      </c>
    </row>
    <row r="4" spans="1:15" x14ac:dyDescent="0.25">
      <c r="A4">
        <f>IF(A3&gt;'TPD Calculator (Super)'!F$8-2,"",A3+1)</f>
        <v>47</v>
      </c>
      <c r="B4" s="4">
        <f t="shared" si="0"/>
        <v>26265.624999999993</v>
      </c>
      <c r="C4" s="3">
        <f>IF(A4="","",'TPD Calculator (Super)'!D$16)</f>
        <v>2.5000000000000001E-2</v>
      </c>
      <c r="D4" s="3">
        <f>IF(A4="","",'TPD Calculator (Super)'!D$17)</f>
        <v>3.5000000000000003E-2</v>
      </c>
      <c r="E4" s="5">
        <f t="shared" ref="E4:E53" si="4">IF(E3="","",IF(E3-1=0,"",E3-1))</f>
        <v>18</v>
      </c>
      <c r="F4" s="1">
        <f t="shared" si="1"/>
        <v>25346.328124999993</v>
      </c>
      <c r="I4">
        <f>IF(I3&gt;'TPD Calculator (Super)'!F$12-2,"",IF(I3=64,"",I3+1))</f>
        <v>47</v>
      </c>
      <c r="J4" s="4">
        <f t="shared" si="2"/>
        <v>52531.249999999985</v>
      </c>
      <c r="K4" s="3">
        <f>IF(I4="","",'TPD Calculator (Super)'!D$16)</f>
        <v>2.5000000000000001E-2</v>
      </c>
      <c r="L4" s="3">
        <f>IF(I4="","",'TPD Calculator (Super)'!D$17)</f>
        <v>3.5000000000000003E-2</v>
      </c>
      <c r="M4" s="5">
        <f t="shared" ref="M4:M53" si="5">IF(M3="","",IF(M3-1=0,"",M3-1))</f>
        <v>18</v>
      </c>
      <c r="N4" s="1">
        <f t="shared" si="3"/>
        <v>50692.656249999985</v>
      </c>
    </row>
    <row r="5" spans="1:15" x14ac:dyDescent="0.25">
      <c r="A5">
        <f>IF(A4&gt;'TPD Calculator (Super)'!F$8-2,"",A4+1)</f>
        <v>48</v>
      </c>
      <c r="B5" s="4">
        <f t="shared" si="0"/>
        <v>26922.265624999989</v>
      </c>
      <c r="C5" s="3">
        <f>IF(A5="","",'TPD Calculator (Super)'!D$16)</f>
        <v>2.5000000000000001E-2</v>
      </c>
      <c r="D5" s="3">
        <f>IF(A5="","",'TPD Calculator (Super)'!D$17)</f>
        <v>3.5000000000000003E-2</v>
      </c>
      <c r="E5" s="5">
        <f t="shared" si="4"/>
        <v>17</v>
      </c>
      <c r="F5" s="1">
        <f t="shared" si="1"/>
        <v>25979.986328124989</v>
      </c>
      <c r="I5">
        <f>IF(I4&gt;'TPD Calculator (Super)'!F$12-2,"",IF(I4=64,"",I4+1))</f>
        <v>48</v>
      </c>
      <c r="J5" s="4">
        <f t="shared" si="2"/>
        <v>53844.531249999978</v>
      </c>
      <c r="K5" s="3">
        <f>IF(I5="","",'TPD Calculator (Super)'!D$16)</f>
        <v>2.5000000000000001E-2</v>
      </c>
      <c r="L5" s="3">
        <f>IF(I5="","",'TPD Calculator (Super)'!D$17)</f>
        <v>3.5000000000000003E-2</v>
      </c>
      <c r="M5" s="5">
        <f t="shared" si="5"/>
        <v>17</v>
      </c>
      <c r="N5" s="1">
        <f t="shared" si="3"/>
        <v>51959.972656249978</v>
      </c>
    </row>
    <row r="6" spans="1:15" x14ac:dyDescent="0.25">
      <c r="A6">
        <f>IF(A5&gt;'TPD Calculator (Super)'!F$8-2,"",A5+1)</f>
        <v>49</v>
      </c>
      <c r="B6" s="4">
        <f t="shared" si="0"/>
        <v>27595.322265624985</v>
      </c>
      <c r="C6" s="3">
        <f>IF(A6="","",'TPD Calculator (Super)'!D$16)</f>
        <v>2.5000000000000001E-2</v>
      </c>
      <c r="D6" s="3">
        <f>IF(A6="","",'TPD Calculator (Super)'!D$17)</f>
        <v>3.5000000000000003E-2</v>
      </c>
      <c r="E6" s="5">
        <f t="shared" si="4"/>
        <v>16</v>
      </c>
      <c r="F6" s="1">
        <f t="shared" si="1"/>
        <v>26629.485986328109</v>
      </c>
      <c r="H6" s="2"/>
      <c r="I6">
        <f>IF(I5&gt;'TPD Calculator (Super)'!F$12-2,"",IF(I5=64,"",I5+1))</f>
        <v>49</v>
      </c>
      <c r="J6" s="4">
        <f t="shared" si="2"/>
        <v>55190.644531249971</v>
      </c>
      <c r="K6" s="3">
        <f>IF(I6="","",'TPD Calculator (Super)'!D$16)</f>
        <v>2.5000000000000001E-2</v>
      </c>
      <c r="L6" s="3">
        <f>IF(I6="","",'TPD Calculator (Super)'!D$17)</f>
        <v>3.5000000000000003E-2</v>
      </c>
      <c r="M6" s="5">
        <f t="shared" si="5"/>
        <v>16</v>
      </c>
      <c r="N6" s="1">
        <f t="shared" si="3"/>
        <v>53258.971972656218</v>
      </c>
    </row>
    <row r="7" spans="1:15" x14ac:dyDescent="0.25">
      <c r="A7">
        <f>IF(A6&gt;'TPD Calculator (Super)'!F$8-2,"",A6+1)</f>
        <v>50</v>
      </c>
      <c r="B7" s="4">
        <f t="shared" si="0"/>
        <v>28285.205322265607</v>
      </c>
      <c r="C7" s="3">
        <f>IF(A7="","",'TPD Calculator (Super)'!D$16)</f>
        <v>2.5000000000000001E-2</v>
      </c>
      <c r="D7" s="3">
        <f>IF(A7="","",'TPD Calculator (Super)'!D$17)</f>
        <v>3.5000000000000003E-2</v>
      </c>
      <c r="E7" s="5">
        <f t="shared" si="4"/>
        <v>15</v>
      </c>
      <c r="F7" s="1">
        <f t="shared" si="1"/>
        <v>27295.223135986311</v>
      </c>
      <c r="I7">
        <f>IF(I6&gt;'TPD Calculator (Super)'!F$12-2,"",IF(I6=64,"",I6+1))</f>
        <v>50</v>
      </c>
      <c r="J7" s="4">
        <f t="shared" si="2"/>
        <v>56570.410644531214</v>
      </c>
      <c r="K7" s="3">
        <f>IF(I7="","",'TPD Calculator (Super)'!D$16)</f>
        <v>2.5000000000000001E-2</v>
      </c>
      <c r="L7" s="3">
        <f>IF(I7="","",'TPD Calculator (Super)'!D$17)</f>
        <v>3.5000000000000003E-2</v>
      </c>
      <c r="M7" s="5">
        <f t="shared" si="5"/>
        <v>15</v>
      </c>
      <c r="N7" s="1">
        <f t="shared" si="3"/>
        <v>54590.446271972622</v>
      </c>
    </row>
    <row r="8" spans="1:15" x14ac:dyDescent="0.25">
      <c r="A8">
        <f>IF(A7&gt;'TPD Calculator (Super)'!F$8-2,"",A7+1)</f>
        <v>51</v>
      </c>
      <c r="B8" s="4">
        <f t="shared" si="0"/>
        <v>28992.335455322245</v>
      </c>
      <c r="C8" s="3">
        <f>IF(A8="","",'TPD Calculator (Super)'!D$16)</f>
        <v>2.5000000000000001E-2</v>
      </c>
      <c r="D8" s="3">
        <f>IF(A8="","",'TPD Calculator (Super)'!D$17)</f>
        <v>3.5000000000000003E-2</v>
      </c>
      <c r="E8" s="5">
        <f t="shared" si="4"/>
        <v>14</v>
      </c>
      <c r="F8" s="1">
        <f t="shared" si="1"/>
        <v>27977.603714385965</v>
      </c>
      <c r="I8">
        <f>IF(I7&gt;'TPD Calculator (Super)'!F$12-2,"",IF(I7=64,"",I7+1))</f>
        <v>51</v>
      </c>
      <c r="J8" s="4">
        <f t="shared" si="2"/>
        <v>57984.670910644491</v>
      </c>
      <c r="K8" s="3">
        <f>IF(I8="","",'TPD Calculator (Super)'!D$16)</f>
        <v>2.5000000000000001E-2</v>
      </c>
      <c r="L8" s="3">
        <f>IF(I8="","",'TPD Calculator (Super)'!D$17)</f>
        <v>3.5000000000000003E-2</v>
      </c>
      <c r="M8" s="5">
        <f t="shared" si="5"/>
        <v>14</v>
      </c>
      <c r="N8" s="1">
        <f t="shared" si="3"/>
        <v>55955.20742877193</v>
      </c>
    </row>
    <row r="9" spans="1:15" x14ac:dyDescent="0.25">
      <c r="A9">
        <f>IF(A8&gt;'TPD Calculator (Super)'!F$8-2,"",A8+1)</f>
        <v>52</v>
      </c>
      <c r="B9" s="4">
        <f t="shared" si="0"/>
        <v>29717.1438417053</v>
      </c>
      <c r="C9" s="3">
        <f>IF(A9="","",'TPD Calculator (Super)'!D$16)</f>
        <v>2.5000000000000001E-2</v>
      </c>
      <c r="D9" s="3">
        <f>IF(A9="","",'TPD Calculator (Super)'!D$17)</f>
        <v>3.5000000000000003E-2</v>
      </c>
      <c r="E9" s="5">
        <f t="shared" si="4"/>
        <v>13</v>
      </c>
      <c r="F9" s="1">
        <f t="shared" si="1"/>
        <v>28677.043807245613</v>
      </c>
      <c r="I9">
        <f>IF(I8&gt;'TPD Calculator (Super)'!F$12-2,"",IF(I8=64,"",I8+1))</f>
        <v>52</v>
      </c>
      <c r="J9" s="4">
        <f t="shared" si="2"/>
        <v>59434.287683410599</v>
      </c>
      <c r="K9" s="3">
        <f>IF(I9="","",'TPD Calculator (Super)'!D$16)</f>
        <v>2.5000000000000001E-2</v>
      </c>
      <c r="L9" s="3">
        <f>IF(I9="","",'TPD Calculator (Super)'!D$17)</f>
        <v>3.5000000000000003E-2</v>
      </c>
      <c r="M9" s="5">
        <f t="shared" si="5"/>
        <v>13</v>
      </c>
      <c r="N9" s="1">
        <f t="shared" si="3"/>
        <v>57354.087614491225</v>
      </c>
    </row>
    <row r="10" spans="1:15" x14ac:dyDescent="0.25">
      <c r="A10">
        <f>IF(A9&gt;'TPD Calculator (Super)'!F$8-2,"",A9+1)</f>
        <v>53</v>
      </c>
      <c r="B10" s="4">
        <f t="shared" si="0"/>
        <v>30460.072437747931</v>
      </c>
      <c r="C10" s="3">
        <f>IF(A10="","",'TPD Calculator (Super)'!D$16)</f>
        <v>2.5000000000000001E-2</v>
      </c>
      <c r="D10" s="3">
        <f>IF(A10="","",'TPD Calculator (Super)'!D$17)</f>
        <v>3.5000000000000003E-2</v>
      </c>
      <c r="E10" s="5">
        <f t="shared" si="4"/>
        <v>12</v>
      </c>
      <c r="F10" s="1">
        <f t="shared" si="1"/>
        <v>29393.969902426754</v>
      </c>
      <c r="I10">
        <f>IF(I9&gt;'TPD Calculator (Super)'!F$12-2,"",IF(I9=64,"",I9+1))</f>
        <v>53</v>
      </c>
      <c r="J10" s="4">
        <f t="shared" si="2"/>
        <v>60920.144875495862</v>
      </c>
      <c r="K10" s="3">
        <f>IF(I10="","",'TPD Calculator (Super)'!D$16)</f>
        <v>2.5000000000000001E-2</v>
      </c>
      <c r="L10" s="3">
        <f>IF(I10="","",'TPD Calculator (Super)'!D$17)</f>
        <v>3.5000000000000003E-2</v>
      </c>
      <c r="M10" s="5">
        <f t="shared" si="5"/>
        <v>12</v>
      </c>
      <c r="N10" s="1">
        <f t="shared" si="3"/>
        <v>58787.939804853508</v>
      </c>
    </row>
    <row r="11" spans="1:15" x14ac:dyDescent="0.25">
      <c r="A11">
        <f>IF(A10&gt;'TPD Calculator (Super)'!F$8-2,"",A10+1)</f>
        <v>54</v>
      </c>
      <c r="B11" s="4">
        <f t="shared" si="0"/>
        <v>31221.574248691628</v>
      </c>
      <c r="C11" s="3">
        <f>IF(A11="","",'TPD Calculator (Super)'!D$16)</f>
        <v>2.5000000000000001E-2</v>
      </c>
      <c r="D11" s="3">
        <f>IF(A11="","",'TPD Calculator (Super)'!D$17)</f>
        <v>3.5000000000000003E-2</v>
      </c>
      <c r="E11" s="5">
        <f t="shared" si="4"/>
        <v>11</v>
      </c>
      <c r="F11" s="1">
        <f t="shared" si="1"/>
        <v>30128.819149987419</v>
      </c>
      <c r="I11">
        <f>IF(I10&gt;'TPD Calculator (Super)'!F$12-2,"",IF(I10=64,"",I10+1))</f>
        <v>54</v>
      </c>
      <c r="J11" s="4">
        <f t="shared" si="2"/>
        <v>62443.148497383256</v>
      </c>
      <c r="K11" s="3">
        <f>IF(I11="","",'TPD Calculator (Super)'!D$16)</f>
        <v>2.5000000000000001E-2</v>
      </c>
      <c r="L11" s="3">
        <f>IF(I11="","",'TPD Calculator (Super)'!D$17)</f>
        <v>3.5000000000000003E-2</v>
      </c>
      <c r="M11" s="5">
        <f t="shared" si="5"/>
        <v>11</v>
      </c>
      <c r="N11" s="1">
        <f t="shared" si="3"/>
        <v>60257.638299974838</v>
      </c>
    </row>
    <row r="12" spans="1:15" x14ac:dyDescent="0.25">
      <c r="A12">
        <f>IF(A11&gt;'TPD Calculator (Super)'!F$8-2,"",A11+1)</f>
        <v>55</v>
      </c>
      <c r="B12" s="4">
        <f t="shared" si="0"/>
        <v>32002.113604908915</v>
      </c>
      <c r="C12" s="3">
        <f>IF(A12="","",'TPD Calculator (Super)'!D$16)</f>
        <v>2.5000000000000001E-2</v>
      </c>
      <c r="D12" s="3">
        <f>IF(A12="","",'TPD Calculator (Super)'!D$17)</f>
        <v>3.5000000000000003E-2</v>
      </c>
      <c r="E12" s="5">
        <f t="shared" si="4"/>
        <v>10</v>
      </c>
      <c r="F12" s="1">
        <f t="shared" si="1"/>
        <v>30882.0396287371</v>
      </c>
      <c r="I12">
        <f>IF(I11&gt;'TPD Calculator (Super)'!F$12-2,"",IF(I11=64,"",I11+1))</f>
        <v>55</v>
      </c>
      <c r="J12" s="4">
        <f t="shared" si="2"/>
        <v>64004.227209817829</v>
      </c>
      <c r="K12" s="3">
        <f>IF(I12="","",'TPD Calculator (Super)'!D$16)</f>
        <v>2.5000000000000001E-2</v>
      </c>
      <c r="L12" s="3">
        <f>IF(I12="","",'TPD Calculator (Super)'!D$17)</f>
        <v>3.5000000000000003E-2</v>
      </c>
      <c r="M12" s="5">
        <f t="shared" si="5"/>
        <v>10</v>
      </c>
      <c r="N12" s="1">
        <f t="shared" si="3"/>
        <v>61764.079257474201</v>
      </c>
    </row>
    <row r="13" spans="1:15" x14ac:dyDescent="0.25">
      <c r="A13">
        <f>IF(A12&gt;'TPD Calculator (Super)'!F$8-2,"",A12+1)</f>
        <v>56</v>
      </c>
      <c r="B13" s="4">
        <f t="shared" si="0"/>
        <v>32802.166445031631</v>
      </c>
      <c r="C13" s="3">
        <f>IF(A13="","",'TPD Calculator (Super)'!D$16)</f>
        <v>2.5000000000000001E-2</v>
      </c>
      <c r="D13" s="3">
        <f>IF(A13="","",'TPD Calculator (Super)'!D$17)</f>
        <v>3.5000000000000003E-2</v>
      </c>
      <c r="E13" s="5">
        <f t="shared" si="4"/>
        <v>9</v>
      </c>
      <c r="F13" s="1">
        <f t="shared" si="1"/>
        <v>31654.090619455525</v>
      </c>
      <c r="I13">
        <f>IF(I12&gt;'TPD Calculator (Super)'!F$12-2,"",IF(I12=64,"",I12+1))</f>
        <v>56</v>
      </c>
      <c r="J13" s="4">
        <f t="shared" si="2"/>
        <v>65604.332890063262</v>
      </c>
      <c r="K13" s="3">
        <f>IF(I13="","",'TPD Calculator (Super)'!D$16)</f>
        <v>2.5000000000000001E-2</v>
      </c>
      <c r="L13" s="3">
        <f>IF(I13="","",'TPD Calculator (Super)'!D$17)</f>
        <v>3.5000000000000003E-2</v>
      </c>
      <c r="M13" s="5">
        <f t="shared" si="5"/>
        <v>9</v>
      </c>
      <c r="N13" s="1">
        <f t="shared" si="3"/>
        <v>63308.181238911049</v>
      </c>
    </row>
    <row r="14" spans="1:15" x14ac:dyDescent="0.25">
      <c r="A14">
        <f>IF(A13&gt;'TPD Calculator (Super)'!F$8-2,"",A13+1)</f>
        <v>57</v>
      </c>
      <c r="B14" s="4">
        <f t="shared" si="0"/>
        <v>33622.220606157418</v>
      </c>
      <c r="C14" s="3">
        <f>IF(A14="","",'TPD Calculator (Super)'!D$16)</f>
        <v>2.5000000000000001E-2</v>
      </c>
      <c r="D14" s="3">
        <f>IF(A14="","",'TPD Calculator (Super)'!D$17)</f>
        <v>3.5000000000000003E-2</v>
      </c>
      <c r="E14" s="5">
        <f t="shared" si="4"/>
        <v>8</v>
      </c>
      <c r="F14" s="1">
        <f t="shared" si="1"/>
        <v>32445.442884941906</v>
      </c>
      <c r="I14">
        <f>IF(I13&gt;'TPD Calculator (Super)'!F$12-2,"",IF(I13=64,"",I13+1))</f>
        <v>57</v>
      </c>
      <c r="J14" s="4">
        <f t="shared" si="2"/>
        <v>67244.441212314836</v>
      </c>
      <c r="K14" s="3">
        <f>IF(I14="","",'TPD Calculator (Super)'!D$16)</f>
        <v>2.5000000000000001E-2</v>
      </c>
      <c r="L14" s="3">
        <f>IF(I14="","",'TPD Calculator (Super)'!D$17)</f>
        <v>3.5000000000000003E-2</v>
      </c>
      <c r="M14" s="5">
        <f t="shared" si="5"/>
        <v>8</v>
      </c>
      <c r="N14" s="1">
        <f t="shared" si="3"/>
        <v>64890.885769883811</v>
      </c>
    </row>
    <row r="15" spans="1:15" x14ac:dyDescent="0.25">
      <c r="A15">
        <f>IF(A14&gt;'TPD Calculator (Super)'!F$8-2,"",A14+1)</f>
        <v>58</v>
      </c>
      <c r="B15" s="4">
        <f t="shared" si="0"/>
        <v>34462.776121311348</v>
      </c>
      <c r="C15" s="3">
        <f>IF(A15="","",'TPD Calculator (Super)'!D$16)</f>
        <v>2.5000000000000001E-2</v>
      </c>
      <c r="D15" s="3">
        <f>IF(A15="","",'TPD Calculator (Super)'!D$17)</f>
        <v>3.5000000000000003E-2</v>
      </c>
      <c r="E15" s="5">
        <f t="shared" si="4"/>
        <v>7</v>
      </c>
      <c r="F15" s="1">
        <f t="shared" si="1"/>
        <v>33256.578957065452</v>
      </c>
      <c r="I15">
        <f>IF(I14&gt;'TPD Calculator (Super)'!F$12-2,"",IF(I14=64,"",I14+1))</f>
        <v>58</v>
      </c>
      <c r="J15" s="4">
        <f t="shared" si="2"/>
        <v>68925.552242622696</v>
      </c>
      <c r="K15" s="3">
        <f>IF(I15="","",'TPD Calculator (Super)'!D$16)</f>
        <v>2.5000000000000001E-2</v>
      </c>
      <c r="L15" s="3">
        <f>IF(I15="","",'TPD Calculator (Super)'!D$17)</f>
        <v>3.5000000000000003E-2</v>
      </c>
      <c r="M15" s="5">
        <f t="shared" si="5"/>
        <v>7</v>
      </c>
      <c r="N15" s="1">
        <f t="shared" si="3"/>
        <v>66513.157914130905</v>
      </c>
    </row>
    <row r="16" spans="1:15" x14ac:dyDescent="0.25">
      <c r="A16">
        <f>IF(A15&gt;'TPD Calculator (Super)'!F$8-2,"",A15+1)</f>
        <v>59</v>
      </c>
      <c r="B16" s="4">
        <f t="shared" si="0"/>
        <v>35324.345524344128</v>
      </c>
      <c r="C16" s="3">
        <f>IF(A16="","",'TPD Calculator (Super)'!D$16)</f>
        <v>2.5000000000000001E-2</v>
      </c>
      <c r="D16" s="3">
        <f>IF(A16="","",'TPD Calculator (Super)'!D$17)</f>
        <v>3.5000000000000003E-2</v>
      </c>
      <c r="E16" s="5">
        <f t="shared" si="4"/>
        <v>6</v>
      </c>
      <c r="F16" s="1">
        <f t="shared" si="1"/>
        <v>34087.993430992079</v>
      </c>
      <c r="I16">
        <f>IF(I15&gt;'TPD Calculator (Super)'!F$12-2,"",IF(I15=64,"",I15+1))</f>
        <v>59</v>
      </c>
      <c r="J16" s="4">
        <f t="shared" si="2"/>
        <v>70648.691048688255</v>
      </c>
      <c r="K16" s="3">
        <f>IF(I16="","",'TPD Calculator (Super)'!D$16)</f>
        <v>2.5000000000000001E-2</v>
      </c>
      <c r="L16" s="3">
        <f>IF(I16="","",'TPD Calculator (Super)'!D$17)</f>
        <v>3.5000000000000003E-2</v>
      </c>
      <c r="M16" s="5">
        <f t="shared" si="5"/>
        <v>6</v>
      </c>
      <c r="N16" s="1">
        <f t="shared" si="3"/>
        <v>68175.986861984158</v>
      </c>
    </row>
    <row r="17" spans="1:14" x14ac:dyDescent="0.25">
      <c r="A17">
        <f>IF(A16&gt;'TPD Calculator (Super)'!F$8-2,"",A16+1)</f>
        <v>60</v>
      </c>
      <c r="B17" s="4">
        <f t="shared" si="0"/>
        <v>36207.454162452726</v>
      </c>
      <c r="C17" s="3">
        <f>IF(A17="","",'TPD Calculator (Super)'!D$16)</f>
        <v>2.5000000000000001E-2</v>
      </c>
      <c r="D17" s="3">
        <f>IF(A17="","",'TPD Calculator (Super)'!D$17)</f>
        <v>3.5000000000000003E-2</v>
      </c>
      <c r="E17" s="5">
        <f t="shared" si="4"/>
        <v>5</v>
      </c>
      <c r="F17" s="1">
        <f t="shared" si="1"/>
        <v>34940.193266766881</v>
      </c>
      <c r="I17">
        <f>IF(I16&gt;'TPD Calculator (Super)'!F$12-2,"",IF(I16=64,"",I16+1))</f>
        <v>60</v>
      </c>
      <c r="J17" s="4">
        <f t="shared" si="2"/>
        <v>72414.908324905453</v>
      </c>
      <c r="K17" s="3">
        <f>IF(I17="","",'TPD Calculator (Super)'!D$16)</f>
        <v>2.5000000000000001E-2</v>
      </c>
      <c r="L17" s="3">
        <f>IF(I17="","",'TPD Calculator (Super)'!D$17)</f>
        <v>3.5000000000000003E-2</v>
      </c>
      <c r="M17" s="5">
        <f t="shared" si="5"/>
        <v>5</v>
      </c>
      <c r="N17" s="1">
        <f t="shared" si="3"/>
        <v>69880.386533533761</v>
      </c>
    </row>
    <row r="18" spans="1:14" x14ac:dyDescent="0.25">
      <c r="A18">
        <f>IF(A17&gt;'TPD Calculator (Super)'!F$8-2,"",A17+1)</f>
        <v>61</v>
      </c>
      <c r="B18" s="4">
        <f t="shared" si="0"/>
        <v>37112.640516514039</v>
      </c>
      <c r="C18" s="3">
        <f>IF(A18="","",'TPD Calculator (Super)'!D$16)</f>
        <v>2.5000000000000001E-2</v>
      </c>
      <c r="D18" s="3">
        <f>IF(A18="","",'TPD Calculator (Super)'!D$17)</f>
        <v>3.5000000000000003E-2</v>
      </c>
      <c r="E18" s="5">
        <f t="shared" si="4"/>
        <v>4</v>
      </c>
      <c r="F18" s="1">
        <f t="shared" si="1"/>
        <v>35813.698098436049</v>
      </c>
      <c r="I18">
        <f>IF(I17&gt;'TPD Calculator (Super)'!F$12-2,"",IF(I17=64,"",I17+1))</f>
        <v>61</v>
      </c>
      <c r="J18" s="4">
        <f t="shared" si="2"/>
        <v>74225.281033028077</v>
      </c>
      <c r="K18" s="3">
        <f>IF(I18="","",'TPD Calculator (Super)'!D$16)</f>
        <v>2.5000000000000001E-2</v>
      </c>
      <c r="L18" s="3">
        <f>IF(I18="","",'TPD Calculator (Super)'!D$17)</f>
        <v>3.5000000000000003E-2</v>
      </c>
      <c r="M18" s="5">
        <f t="shared" si="5"/>
        <v>4</v>
      </c>
      <c r="N18" s="1">
        <f t="shared" si="3"/>
        <v>71627.396196872098</v>
      </c>
    </row>
    <row r="19" spans="1:14" x14ac:dyDescent="0.25">
      <c r="A19">
        <f>IF(A18&gt;'TPD Calculator (Super)'!F$8-2,"",A18+1)</f>
        <v>62</v>
      </c>
      <c r="B19" s="4">
        <f t="shared" si="0"/>
        <v>38040.456529426883</v>
      </c>
      <c r="C19" s="3">
        <f>IF(A19="","",'TPD Calculator (Super)'!D$16)</f>
        <v>2.5000000000000001E-2</v>
      </c>
      <c r="D19" s="3">
        <f>IF(A19="","",'TPD Calculator (Super)'!D$17)</f>
        <v>3.5000000000000003E-2</v>
      </c>
      <c r="E19" s="5">
        <f t="shared" si="4"/>
        <v>3</v>
      </c>
      <c r="F19" s="1">
        <f t="shared" si="1"/>
        <v>36709.040550896942</v>
      </c>
      <c r="I19">
        <f>IF(I18&gt;'TPD Calculator (Super)'!F$12-2,"",IF(I18=64,"",I18+1))</f>
        <v>62</v>
      </c>
      <c r="J19" s="4">
        <f t="shared" si="2"/>
        <v>76080.913058853766</v>
      </c>
      <c r="K19" s="3">
        <f>IF(I19="","",'TPD Calculator (Super)'!D$16)</f>
        <v>2.5000000000000001E-2</v>
      </c>
      <c r="L19" s="3">
        <f>IF(I19="","",'TPD Calculator (Super)'!D$17)</f>
        <v>3.5000000000000003E-2</v>
      </c>
      <c r="M19" s="5">
        <f t="shared" si="5"/>
        <v>3</v>
      </c>
      <c r="N19" s="1">
        <f t="shared" si="3"/>
        <v>73418.081101793883</v>
      </c>
    </row>
    <row r="20" spans="1:14" x14ac:dyDescent="0.25">
      <c r="A20">
        <f>IF(A19&gt;'TPD Calculator (Super)'!F$8-2,"",A19+1)</f>
        <v>63</v>
      </c>
      <c r="B20" s="4">
        <f t="shared" si="0"/>
        <v>38991.467942662552</v>
      </c>
      <c r="C20" s="3">
        <f>IF(A20="","",'TPD Calculator (Super)'!D$16)</f>
        <v>2.5000000000000001E-2</v>
      </c>
      <c r="D20" s="3">
        <f>IF(A20="","",'TPD Calculator (Super)'!D$17)</f>
        <v>3.5000000000000003E-2</v>
      </c>
      <c r="E20" s="5">
        <f t="shared" si="4"/>
        <v>2</v>
      </c>
      <c r="F20" s="1">
        <f t="shared" si="1"/>
        <v>37626.766564669364</v>
      </c>
      <c r="I20">
        <f>IF(I19&gt;'TPD Calculator (Super)'!F$12-2,"",IF(I19=64,"",I19+1))</f>
        <v>63</v>
      </c>
      <c r="J20" s="4">
        <f t="shared" si="2"/>
        <v>77982.935885325103</v>
      </c>
      <c r="K20" s="3">
        <f>IF(I20="","",'TPD Calculator (Super)'!D$16)</f>
        <v>2.5000000000000001E-2</v>
      </c>
      <c r="L20" s="3">
        <f>IF(I20="","",'TPD Calculator (Super)'!D$17)</f>
        <v>3.5000000000000003E-2</v>
      </c>
      <c r="M20" s="5">
        <f t="shared" si="5"/>
        <v>2</v>
      </c>
      <c r="N20" s="1">
        <f t="shared" si="3"/>
        <v>75253.533129338728</v>
      </c>
    </row>
    <row r="21" spans="1:14" x14ac:dyDescent="0.25">
      <c r="A21">
        <f>IF(A20&gt;'TPD Calculator (Super)'!F$8-2,"",A20+1)</f>
        <v>64</v>
      </c>
      <c r="B21" s="4">
        <f t="shared" si="0"/>
        <v>39966.254641229112</v>
      </c>
      <c r="C21" s="3">
        <f>IF(A21="","",'TPD Calculator (Super)'!D$16)</f>
        <v>2.5000000000000001E-2</v>
      </c>
      <c r="D21" s="3">
        <f>IF(A21="","",'TPD Calculator (Super)'!D$17)</f>
        <v>3.5000000000000003E-2</v>
      </c>
      <c r="E21" s="5">
        <f t="shared" si="4"/>
        <v>1</v>
      </c>
      <c r="F21" s="1">
        <f t="shared" si="1"/>
        <v>38567.435728786091</v>
      </c>
      <c r="I21">
        <f>IF(I20&gt;'TPD Calculator (Super)'!F$12-2,"",IF(I20=64,"",I20+1))</f>
        <v>64</v>
      </c>
      <c r="J21" s="4">
        <f t="shared" si="2"/>
        <v>79932.509282458224</v>
      </c>
      <c r="K21" s="3">
        <f>IF(I21="","",'TPD Calculator (Super)'!D$16)</f>
        <v>2.5000000000000001E-2</v>
      </c>
      <c r="L21" s="3">
        <f>IF(I21="","",'TPD Calculator (Super)'!D$17)</f>
        <v>3.5000000000000003E-2</v>
      </c>
      <c r="M21" s="5">
        <f t="shared" si="5"/>
        <v>1</v>
      </c>
      <c r="N21" s="1">
        <f t="shared" si="3"/>
        <v>77134.871457572182</v>
      </c>
    </row>
    <row r="22" spans="1:14" x14ac:dyDescent="0.25">
      <c r="A22" t="str">
        <f>IF(A21&gt;'TPD Calculator (Super)'!F$8-2,"",A21+1)</f>
        <v/>
      </c>
      <c r="B22" s="4" t="str">
        <f t="shared" si="0"/>
        <v/>
      </c>
      <c r="C22" s="3" t="str">
        <f>IF(A22="","",'TPD Calculator (Super)'!D$16)</f>
        <v/>
      </c>
      <c r="D22" s="3" t="str">
        <f>IF(A22="","",'TPD Calculator (Super)'!D$17)</f>
        <v/>
      </c>
      <c r="E22" s="5" t="str">
        <f t="shared" si="4"/>
        <v/>
      </c>
      <c r="F22" s="1" t="str">
        <f t="shared" si="1"/>
        <v/>
      </c>
      <c r="I22" t="str">
        <f>IF(I21&gt;'TPD Calculator (Super)'!F$12-2,"",IF(I21=64,"",I21+1))</f>
        <v/>
      </c>
      <c r="J22" s="4" t="str">
        <f t="shared" si="2"/>
        <v/>
      </c>
      <c r="K22" s="3" t="str">
        <f>IF(I22="","",'TPD Calculator (Super)'!D$16)</f>
        <v/>
      </c>
      <c r="L22" s="3" t="str">
        <f>IF(I22="","",'TPD Calculator (Super)'!D$17)</f>
        <v/>
      </c>
      <c r="M22" s="5" t="str">
        <f t="shared" si="5"/>
        <v/>
      </c>
      <c r="N22" s="1" t="str">
        <f t="shared" si="3"/>
        <v/>
      </c>
    </row>
    <row r="23" spans="1:14" x14ac:dyDescent="0.25">
      <c r="A23" t="str">
        <f>IF(A22&gt;'TPD Calculator (Super)'!F$8-2,"",A22+1)</f>
        <v/>
      </c>
      <c r="B23" s="4" t="str">
        <f t="shared" si="0"/>
        <v/>
      </c>
      <c r="C23" s="3" t="str">
        <f>IF(A23="","",'TPD Calculator (Super)'!D$16)</f>
        <v/>
      </c>
      <c r="D23" s="3" t="str">
        <f>IF(A23="","",'TPD Calculator (Super)'!D$17)</f>
        <v/>
      </c>
      <c r="E23" s="5" t="str">
        <f t="shared" si="4"/>
        <v/>
      </c>
      <c r="F23" s="1" t="str">
        <f t="shared" si="1"/>
        <v/>
      </c>
      <c r="I23" t="str">
        <f>IF(I22&gt;'TPD Calculator (Super)'!F$12-2,"",IF(I22=64,"",I22+1))</f>
        <v/>
      </c>
      <c r="J23" s="4" t="str">
        <f t="shared" si="2"/>
        <v/>
      </c>
      <c r="K23" s="3" t="str">
        <f>IF(I23="","",'TPD Calculator (Super)'!D$16)</f>
        <v/>
      </c>
      <c r="L23" s="3" t="str">
        <f>IF(I23="","",'TPD Calculator (Super)'!D$17)</f>
        <v/>
      </c>
      <c r="M23" s="5" t="str">
        <f t="shared" si="5"/>
        <v/>
      </c>
      <c r="N23" s="1" t="str">
        <f t="shared" si="3"/>
        <v/>
      </c>
    </row>
    <row r="24" spans="1:14" x14ac:dyDescent="0.25">
      <c r="A24" t="str">
        <f>IF(A23&gt;'TPD Calculator (Super)'!F$8-2,"",A23+1)</f>
        <v/>
      </c>
      <c r="B24" s="4" t="str">
        <f t="shared" si="0"/>
        <v/>
      </c>
      <c r="C24" s="3" t="str">
        <f>IF(A24="","",'TPD Calculator (Super)'!D$16)</f>
        <v/>
      </c>
      <c r="D24" s="3" t="str">
        <f>IF(A24="","",'TPD Calculator (Super)'!D$17)</f>
        <v/>
      </c>
      <c r="E24" s="5" t="str">
        <f t="shared" si="4"/>
        <v/>
      </c>
      <c r="F24" s="1" t="str">
        <f t="shared" si="1"/>
        <v/>
      </c>
      <c r="I24" t="str">
        <f>IF(I23&gt;'TPD Calculator (Super)'!F$12-2,"",IF(I23=64,"",I23+1))</f>
        <v/>
      </c>
      <c r="J24" s="4" t="str">
        <f t="shared" si="2"/>
        <v/>
      </c>
      <c r="K24" s="3" t="str">
        <f>IF(I24="","",'TPD Calculator (Super)'!D$16)</f>
        <v/>
      </c>
      <c r="L24" s="3" t="str">
        <f>IF(I24="","",'TPD Calculator (Super)'!D$17)</f>
        <v/>
      </c>
      <c r="M24" s="5" t="str">
        <f t="shared" si="5"/>
        <v/>
      </c>
      <c r="N24" s="1" t="str">
        <f t="shared" si="3"/>
        <v/>
      </c>
    </row>
    <row r="25" spans="1:14" x14ac:dyDescent="0.25">
      <c r="A25" t="str">
        <f>IF(A24&gt;'TPD Calculator (Super)'!F$8-2,"",A24+1)</f>
        <v/>
      </c>
      <c r="B25" s="4" t="str">
        <f t="shared" si="0"/>
        <v/>
      </c>
      <c r="C25" s="3" t="str">
        <f>IF(A25="","",'TPD Calculator (Super)'!D$16)</f>
        <v/>
      </c>
      <c r="D25" s="3" t="str">
        <f>IF(A25="","",'TPD Calculator (Super)'!D$17)</f>
        <v/>
      </c>
      <c r="E25" s="5" t="str">
        <f t="shared" si="4"/>
        <v/>
      </c>
      <c r="F25" s="1" t="str">
        <f t="shared" si="1"/>
        <v/>
      </c>
      <c r="I25" t="str">
        <f>IF(I24&gt;'TPD Calculator (Super)'!F$12-2,"",IF(I24=64,"",I24+1))</f>
        <v/>
      </c>
      <c r="J25" s="4" t="str">
        <f t="shared" si="2"/>
        <v/>
      </c>
      <c r="K25" s="3" t="str">
        <f>IF(I25="","",'TPD Calculator (Super)'!D$16)</f>
        <v/>
      </c>
      <c r="L25" s="3" t="str">
        <f>IF(I25="","",'TPD Calculator (Super)'!D$17)</f>
        <v/>
      </c>
      <c r="M25" s="5" t="str">
        <f t="shared" si="5"/>
        <v/>
      </c>
      <c r="N25" s="1" t="str">
        <f t="shared" si="3"/>
        <v/>
      </c>
    </row>
    <row r="26" spans="1:14" x14ac:dyDescent="0.25">
      <c r="A26" t="str">
        <f>IF(A25&gt;'TPD Calculator (Super)'!F$8-2,"",A25+1)</f>
        <v/>
      </c>
      <c r="B26" s="4" t="str">
        <f t="shared" si="0"/>
        <v/>
      </c>
      <c r="C26" s="3" t="str">
        <f>IF(A26="","",'TPD Calculator (Super)'!D$16)</f>
        <v/>
      </c>
      <c r="D26" s="3" t="str">
        <f>IF(A26="","",'TPD Calculator (Super)'!D$17)</f>
        <v/>
      </c>
      <c r="E26" s="5" t="str">
        <f t="shared" si="4"/>
        <v/>
      </c>
      <c r="F26" s="1" t="str">
        <f t="shared" si="1"/>
        <v/>
      </c>
      <c r="I26" t="str">
        <f>IF(I25&gt;'TPD Calculator (Super)'!F$12-2,"",IF(I25=64,"",I25+1))</f>
        <v/>
      </c>
      <c r="J26" s="4" t="str">
        <f t="shared" si="2"/>
        <v/>
      </c>
      <c r="K26" s="3" t="str">
        <f>IF(I26="","",'TPD Calculator (Super)'!D$16)</f>
        <v/>
      </c>
      <c r="L26" s="3" t="str">
        <f>IF(I26="","",'TPD Calculator (Super)'!D$17)</f>
        <v/>
      </c>
      <c r="M26" s="5" t="str">
        <f t="shared" si="5"/>
        <v/>
      </c>
      <c r="N26" s="1" t="str">
        <f t="shared" si="3"/>
        <v/>
      </c>
    </row>
    <row r="27" spans="1:14" x14ac:dyDescent="0.25">
      <c r="A27" t="str">
        <f>IF(A26&gt;'TPD Calculator (Super)'!F$8-2,"",A26+1)</f>
        <v/>
      </c>
      <c r="B27" s="4" t="str">
        <f t="shared" si="0"/>
        <v/>
      </c>
      <c r="C27" s="3" t="str">
        <f>IF(A27="","",'TPD Calculator (Super)'!D$16)</f>
        <v/>
      </c>
      <c r="D27" s="3" t="str">
        <f>IF(A27="","",'TPD Calculator (Super)'!D$17)</f>
        <v/>
      </c>
      <c r="E27" s="5" t="str">
        <f t="shared" si="4"/>
        <v/>
      </c>
      <c r="F27" s="1" t="str">
        <f t="shared" si="1"/>
        <v/>
      </c>
      <c r="I27" t="str">
        <f>IF(I26&gt;'TPD Calculator (Super)'!F$12-2,"",IF(I26=64,"",I26+1))</f>
        <v/>
      </c>
      <c r="J27" s="4" t="str">
        <f t="shared" si="2"/>
        <v/>
      </c>
      <c r="K27" s="3" t="str">
        <f>IF(I27="","",'TPD Calculator (Super)'!D$16)</f>
        <v/>
      </c>
      <c r="L27" s="3" t="str">
        <f>IF(I27="","",'TPD Calculator (Super)'!D$17)</f>
        <v/>
      </c>
      <c r="M27" s="5" t="str">
        <f t="shared" si="5"/>
        <v/>
      </c>
      <c r="N27" s="1" t="str">
        <f t="shared" si="3"/>
        <v/>
      </c>
    </row>
    <row r="28" spans="1:14" x14ac:dyDescent="0.25">
      <c r="A28" t="str">
        <f>IF(A27&gt;'TPD Calculator (Super)'!F$8-2,"",A27+1)</f>
        <v/>
      </c>
      <c r="B28" s="4" t="str">
        <f t="shared" si="0"/>
        <v/>
      </c>
      <c r="C28" s="3" t="str">
        <f>IF(A28="","",'TPD Calculator (Super)'!D$16)</f>
        <v/>
      </c>
      <c r="D28" s="3" t="str">
        <f>IF(A28="","",'TPD Calculator (Super)'!D$17)</f>
        <v/>
      </c>
      <c r="E28" s="5" t="str">
        <f t="shared" si="4"/>
        <v/>
      </c>
      <c r="F28" s="1" t="str">
        <f t="shared" si="1"/>
        <v/>
      </c>
      <c r="I28" t="str">
        <f>IF(I27&gt;'TPD Calculator (Super)'!F$12-2,"",IF(I27=64,"",I27+1))</f>
        <v/>
      </c>
      <c r="J28" s="4" t="str">
        <f t="shared" si="2"/>
        <v/>
      </c>
      <c r="K28" s="3" t="str">
        <f>IF(I28="","",'TPD Calculator (Super)'!D$16)</f>
        <v/>
      </c>
      <c r="L28" s="3" t="str">
        <f>IF(I28="","",'TPD Calculator (Super)'!D$17)</f>
        <v/>
      </c>
      <c r="M28" s="5" t="str">
        <f t="shared" si="5"/>
        <v/>
      </c>
      <c r="N28" s="1" t="str">
        <f t="shared" si="3"/>
        <v/>
      </c>
    </row>
    <row r="29" spans="1:14" x14ac:dyDescent="0.25">
      <c r="A29" t="str">
        <f>IF(A28&gt;'TPD Calculator (Super)'!F$8-2,"",A28+1)</f>
        <v/>
      </c>
      <c r="B29" s="4" t="str">
        <f t="shared" si="0"/>
        <v/>
      </c>
      <c r="C29" s="3" t="str">
        <f>IF(A29="","",'TPD Calculator (Super)'!D$16)</f>
        <v/>
      </c>
      <c r="D29" s="3" t="str">
        <f>IF(A29="","",'TPD Calculator (Super)'!D$17)</f>
        <v/>
      </c>
      <c r="E29" s="5" t="str">
        <f t="shared" si="4"/>
        <v/>
      </c>
      <c r="F29" s="1" t="str">
        <f t="shared" si="1"/>
        <v/>
      </c>
      <c r="I29" t="str">
        <f>IF(I28&gt;'TPD Calculator (Super)'!F$12-2,"",IF(I28=64,"",I28+1))</f>
        <v/>
      </c>
      <c r="J29" s="4" t="str">
        <f t="shared" si="2"/>
        <v/>
      </c>
      <c r="K29" s="3" t="str">
        <f>IF(I29="","",'TPD Calculator (Super)'!D$16)</f>
        <v/>
      </c>
      <c r="L29" s="3" t="str">
        <f>IF(I29="","",'TPD Calculator (Super)'!D$17)</f>
        <v/>
      </c>
      <c r="M29" s="5" t="str">
        <f t="shared" si="5"/>
        <v/>
      </c>
      <c r="N29" s="1" t="str">
        <f t="shared" si="3"/>
        <v/>
      </c>
    </row>
    <row r="30" spans="1:14" x14ac:dyDescent="0.25">
      <c r="A30" t="str">
        <f>IF(A29&gt;'TPD Calculator (Super)'!F$8-2,"",A29+1)</f>
        <v/>
      </c>
      <c r="B30" s="4" t="str">
        <f t="shared" si="0"/>
        <v/>
      </c>
      <c r="C30" s="3" t="str">
        <f>IF(A30="","",'TPD Calculator (Super)'!D$16)</f>
        <v/>
      </c>
      <c r="D30" s="3" t="str">
        <f>IF(A30="","",'TPD Calculator (Super)'!D$17)</f>
        <v/>
      </c>
      <c r="E30" s="5" t="str">
        <f t="shared" si="4"/>
        <v/>
      </c>
      <c r="F30" s="1" t="str">
        <f t="shared" si="1"/>
        <v/>
      </c>
      <c r="I30" t="str">
        <f>IF(I29&gt;'TPD Calculator (Super)'!F$12-2,"",IF(I29=64,"",I29+1))</f>
        <v/>
      </c>
      <c r="J30" s="4" t="str">
        <f t="shared" si="2"/>
        <v/>
      </c>
      <c r="K30" s="3" t="str">
        <f>IF(I30="","",'TPD Calculator (Super)'!D$16)</f>
        <v/>
      </c>
      <c r="L30" s="3" t="str">
        <f>IF(I30="","",'TPD Calculator (Super)'!D$17)</f>
        <v/>
      </c>
      <c r="M30" s="5" t="str">
        <f t="shared" si="5"/>
        <v/>
      </c>
      <c r="N30" s="1" t="str">
        <f t="shared" si="3"/>
        <v/>
      </c>
    </row>
    <row r="31" spans="1:14" x14ac:dyDescent="0.25">
      <c r="A31" t="str">
        <f>IF(A30&gt;'TPD Calculator (Super)'!F$8-2,"",A30+1)</f>
        <v/>
      </c>
      <c r="B31" s="4" t="str">
        <f t="shared" si="0"/>
        <v/>
      </c>
      <c r="C31" s="3" t="str">
        <f>IF(A31="","",'TPD Calculator (Super)'!D$16)</f>
        <v/>
      </c>
      <c r="D31" s="3" t="str">
        <f>IF(A31="","",'TPD Calculator (Super)'!D$17)</f>
        <v/>
      </c>
      <c r="E31" s="5" t="str">
        <f t="shared" si="4"/>
        <v/>
      </c>
      <c r="F31" s="1" t="str">
        <f t="shared" si="1"/>
        <v/>
      </c>
      <c r="I31" t="str">
        <f>IF(I30&gt;'TPD Calculator (Super)'!F$12-2,"",IF(I30=64,"",I30+1))</f>
        <v/>
      </c>
      <c r="J31" s="4" t="str">
        <f t="shared" si="2"/>
        <v/>
      </c>
      <c r="K31" s="3" t="str">
        <f>IF(I31="","",'TPD Calculator (Super)'!D$16)</f>
        <v/>
      </c>
      <c r="L31" s="3" t="str">
        <f>IF(I31="","",'TPD Calculator (Super)'!D$17)</f>
        <v/>
      </c>
      <c r="M31" s="5" t="str">
        <f t="shared" si="5"/>
        <v/>
      </c>
      <c r="N31" s="1" t="str">
        <f t="shared" si="3"/>
        <v/>
      </c>
    </row>
    <row r="32" spans="1:14" x14ac:dyDescent="0.25">
      <c r="A32" t="str">
        <f>IF(A31&gt;'TPD Calculator (Super)'!F$8-2,"",A31+1)</f>
        <v/>
      </c>
      <c r="B32" s="4" t="str">
        <f t="shared" si="0"/>
        <v/>
      </c>
      <c r="C32" s="3" t="str">
        <f>IF(A32="","",'TPD Calculator (Super)'!D$16)</f>
        <v/>
      </c>
      <c r="D32" s="3" t="str">
        <f>IF(A32="","",'TPD Calculator (Super)'!D$17)</f>
        <v/>
      </c>
      <c r="E32" s="5" t="str">
        <f t="shared" si="4"/>
        <v/>
      </c>
      <c r="F32" s="1" t="str">
        <f t="shared" si="1"/>
        <v/>
      </c>
      <c r="I32" t="str">
        <f>IF(I31&gt;'TPD Calculator (Super)'!F$12-2,"",IF(I31=64,"",I31+1))</f>
        <v/>
      </c>
      <c r="J32" s="4" t="str">
        <f t="shared" si="2"/>
        <v/>
      </c>
      <c r="K32" s="3" t="str">
        <f>IF(I32="","",'TPD Calculator (Super)'!D$16)</f>
        <v/>
      </c>
      <c r="L32" s="3" t="str">
        <f>IF(I32="","",'TPD Calculator (Super)'!D$17)</f>
        <v/>
      </c>
      <c r="M32" s="5" t="str">
        <f t="shared" si="5"/>
        <v/>
      </c>
      <c r="N32" s="1" t="str">
        <f t="shared" si="3"/>
        <v/>
      </c>
    </row>
    <row r="33" spans="1:14" x14ac:dyDescent="0.25">
      <c r="A33" t="str">
        <f>IF(A32&gt;'TPD Calculator (Super)'!F$8-2,"",A32+1)</f>
        <v/>
      </c>
      <c r="B33" s="4" t="str">
        <f t="shared" si="0"/>
        <v/>
      </c>
      <c r="C33" s="3" t="str">
        <f>IF(A33="","",'TPD Calculator (Super)'!D$16)</f>
        <v/>
      </c>
      <c r="D33" s="3" t="str">
        <f>IF(A33="","",'TPD Calculator (Super)'!D$17)</f>
        <v/>
      </c>
      <c r="E33" s="5" t="str">
        <f t="shared" si="4"/>
        <v/>
      </c>
      <c r="F33" s="1" t="str">
        <f t="shared" si="1"/>
        <v/>
      </c>
      <c r="I33" t="str">
        <f>IF(I32&gt;'TPD Calculator (Super)'!F$12-2,"",IF(I32=64,"",I32+1))</f>
        <v/>
      </c>
      <c r="J33" s="4" t="str">
        <f t="shared" si="2"/>
        <v/>
      </c>
      <c r="K33" s="3" t="str">
        <f>IF(I33="","",'TPD Calculator (Super)'!D$16)</f>
        <v/>
      </c>
      <c r="L33" s="3" t="str">
        <f>IF(I33="","",'TPD Calculator (Super)'!D$17)</f>
        <v/>
      </c>
      <c r="M33" s="5" t="str">
        <f t="shared" si="5"/>
        <v/>
      </c>
      <c r="N33" s="1" t="str">
        <f t="shared" si="3"/>
        <v/>
      </c>
    </row>
    <row r="34" spans="1:14" x14ac:dyDescent="0.25">
      <c r="A34" t="str">
        <f>IF(A33&gt;'TPD Calculator (Super)'!F$8-2,"",A33+1)</f>
        <v/>
      </c>
      <c r="B34" s="4" t="str">
        <f t="shared" si="0"/>
        <v/>
      </c>
      <c r="C34" s="3" t="str">
        <f>IF(A34="","",'TPD Calculator (Super)'!D$16)</f>
        <v/>
      </c>
      <c r="D34" s="3" t="str">
        <f>IF(A34="","",'TPD Calculator (Super)'!D$17)</f>
        <v/>
      </c>
      <c r="E34" s="5" t="str">
        <f t="shared" si="4"/>
        <v/>
      </c>
      <c r="F34" s="1" t="str">
        <f t="shared" si="1"/>
        <v/>
      </c>
      <c r="I34" t="str">
        <f>IF(I33&gt;'TPD Calculator (Super)'!F$12-2,"",IF(I33=64,"",I33+1))</f>
        <v/>
      </c>
      <c r="J34" s="4" t="str">
        <f t="shared" si="2"/>
        <v/>
      </c>
      <c r="K34" s="3" t="str">
        <f>IF(I34="","",'TPD Calculator (Super)'!D$16)</f>
        <v/>
      </c>
      <c r="L34" s="3" t="str">
        <f>IF(I34="","",'TPD Calculator (Super)'!D$17)</f>
        <v/>
      </c>
      <c r="M34" s="5" t="str">
        <f t="shared" si="5"/>
        <v/>
      </c>
      <c r="N34" s="1" t="str">
        <f t="shared" si="3"/>
        <v/>
      </c>
    </row>
    <row r="35" spans="1:14" x14ac:dyDescent="0.25">
      <c r="A35" t="str">
        <f>IF(A34&gt;'TPD Calculator (Super)'!F$8-2,"",A34+1)</f>
        <v/>
      </c>
      <c r="B35" s="4" t="str">
        <f t="shared" si="0"/>
        <v/>
      </c>
      <c r="C35" s="3" t="str">
        <f>IF(A35="","",'TPD Calculator (Super)'!D$16)</f>
        <v/>
      </c>
      <c r="D35" s="3" t="str">
        <f>IF(A35="","",'TPD Calculator (Super)'!D$17)</f>
        <v/>
      </c>
      <c r="E35" s="5" t="str">
        <f t="shared" si="4"/>
        <v/>
      </c>
      <c r="F35" s="1" t="str">
        <f t="shared" si="1"/>
        <v/>
      </c>
      <c r="I35" t="str">
        <f>IF(I34&gt;'TPD Calculator (Super)'!F$12-2,"",IF(I34=64,"",I34+1))</f>
        <v/>
      </c>
      <c r="J35" s="4" t="str">
        <f t="shared" si="2"/>
        <v/>
      </c>
      <c r="K35" s="3" t="str">
        <f>IF(I35="","",'TPD Calculator (Super)'!D$16)</f>
        <v/>
      </c>
      <c r="L35" s="3" t="str">
        <f>IF(I35="","",'TPD Calculator (Super)'!D$17)</f>
        <v/>
      </c>
      <c r="M35" s="5" t="str">
        <f t="shared" si="5"/>
        <v/>
      </c>
      <c r="N35" s="1" t="str">
        <f t="shared" si="3"/>
        <v/>
      </c>
    </row>
    <row r="36" spans="1:14" x14ac:dyDescent="0.25">
      <c r="A36" t="str">
        <f>IF(A35&gt;'TPD Calculator (Super)'!F$8-2,"",A35+1)</f>
        <v/>
      </c>
      <c r="B36" s="4" t="str">
        <f t="shared" si="0"/>
        <v/>
      </c>
      <c r="C36" s="3" t="str">
        <f>IF(A36="","",'TPD Calculator (Super)'!D$16)</f>
        <v/>
      </c>
      <c r="D36" s="3" t="str">
        <f>IF(A36="","",'TPD Calculator (Super)'!D$17)</f>
        <v/>
      </c>
      <c r="E36" s="5" t="str">
        <f t="shared" si="4"/>
        <v/>
      </c>
      <c r="F36" s="1" t="str">
        <f t="shared" si="1"/>
        <v/>
      </c>
      <c r="I36" t="str">
        <f>IF(I35&gt;'TPD Calculator (Super)'!F$12-2,"",IF(I35=64,"",I35+1))</f>
        <v/>
      </c>
      <c r="J36" s="4" t="str">
        <f t="shared" si="2"/>
        <v/>
      </c>
      <c r="K36" s="3" t="str">
        <f>IF(I36="","",'TPD Calculator (Super)'!D$16)</f>
        <v/>
      </c>
      <c r="L36" s="3" t="str">
        <f>IF(I36="","",'TPD Calculator (Super)'!D$17)</f>
        <v/>
      </c>
      <c r="M36" s="5" t="str">
        <f t="shared" si="5"/>
        <v/>
      </c>
      <c r="N36" s="1" t="str">
        <f t="shared" si="3"/>
        <v/>
      </c>
    </row>
    <row r="37" spans="1:14" x14ac:dyDescent="0.25">
      <c r="A37" t="str">
        <f>IF(A36&gt;'TPD Calculator (Super)'!F$8-2,"",A36+1)</f>
        <v/>
      </c>
      <c r="B37" s="4" t="str">
        <f t="shared" si="0"/>
        <v/>
      </c>
      <c r="C37" s="3" t="str">
        <f>IF(A37="","",'TPD Calculator (Super)'!D$16)</f>
        <v/>
      </c>
      <c r="D37" s="3" t="str">
        <f>IF(A37="","",'TPD Calculator (Super)'!D$17)</f>
        <v/>
      </c>
      <c r="E37" s="5" t="str">
        <f t="shared" si="4"/>
        <v/>
      </c>
      <c r="F37" s="1" t="str">
        <f t="shared" si="1"/>
        <v/>
      </c>
      <c r="I37" t="str">
        <f>IF(I36&gt;'TPD Calculator (Super)'!F$12-2,"",IF(I36=64,"",I36+1))</f>
        <v/>
      </c>
      <c r="J37" s="4" t="str">
        <f t="shared" si="2"/>
        <v/>
      </c>
      <c r="K37" s="3" t="str">
        <f>IF(I37="","",'TPD Calculator (Super)'!D$16)</f>
        <v/>
      </c>
      <c r="L37" s="3" t="str">
        <f>IF(I37="","",'TPD Calculator (Super)'!D$17)</f>
        <v/>
      </c>
      <c r="M37" s="5" t="str">
        <f t="shared" si="5"/>
        <v/>
      </c>
      <c r="N37" s="1" t="str">
        <f t="shared" si="3"/>
        <v/>
      </c>
    </row>
    <row r="38" spans="1:14" x14ac:dyDescent="0.25">
      <c r="A38" t="str">
        <f>IF(A37&gt;'TPD Calculator (Super)'!F$8-2,"",A37+1)</f>
        <v/>
      </c>
      <c r="B38" s="4" t="str">
        <f t="shared" si="0"/>
        <v/>
      </c>
      <c r="C38" s="3" t="str">
        <f>IF(A38="","",'TPD Calculator (Super)'!D$16)</f>
        <v/>
      </c>
      <c r="D38" s="3" t="str">
        <f>IF(A38="","",'TPD Calculator (Super)'!D$17)</f>
        <v/>
      </c>
      <c r="E38" s="5" t="str">
        <f t="shared" si="4"/>
        <v/>
      </c>
      <c r="F38" s="1" t="str">
        <f t="shared" si="1"/>
        <v/>
      </c>
      <c r="I38" t="str">
        <f>IF(I37&gt;'TPD Calculator (Super)'!F$12-2,"",IF(I37=64,"",I37+1))</f>
        <v/>
      </c>
      <c r="J38" s="4" t="str">
        <f t="shared" si="2"/>
        <v/>
      </c>
      <c r="K38" s="3" t="str">
        <f>IF(I38="","",'TPD Calculator (Super)'!D$16)</f>
        <v/>
      </c>
      <c r="L38" s="3" t="str">
        <f>IF(I38="","",'TPD Calculator (Super)'!D$17)</f>
        <v/>
      </c>
      <c r="M38" s="5" t="str">
        <f t="shared" si="5"/>
        <v/>
      </c>
      <c r="N38" s="1" t="str">
        <f t="shared" si="3"/>
        <v/>
      </c>
    </row>
    <row r="39" spans="1:14" x14ac:dyDescent="0.25">
      <c r="A39" t="str">
        <f>IF(A38&gt;'TPD Calculator (Super)'!F$8-2,"",A38+1)</f>
        <v/>
      </c>
      <c r="B39" s="4" t="str">
        <f t="shared" si="0"/>
        <v/>
      </c>
      <c r="C39" s="3" t="str">
        <f>IF(A39="","",'TPD Calculator (Super)'!D$16)</f>
        <v/>
      </c>
      <c r="D39" s="3" t="str">
        <f>IF(A39="","",'TPD Calculator (Super)'!D$17)</f>
        <v/>
      </c>
      <c r="E39" s="5" t="str">
        <f t="shared" si="4"/>
        <v/>
      </c>
      <c r="F39" s="1" t="str">
        <f t="shared" si="1"/>
        <v/>
      </c>
      <c r="I39" t="str">
        <f>IF(I38&gt;'TPD Calculator (Super)'!F$12-2,"",IF(I38=64,"",I38+1))</f>
        <v/>
      </c>
      <c r="J39" s="4" t="str">
        <f t="shared" si="2"/>
        <v/>
      </c>
      <c r="K39" s="3" t="str">
        <f>IF(I39="","",'TPD Calculator (Super)'!D$16)</f>
        <v/>
      </c>
      <c r="L39" s="3" t="str">
        <f>IF(I39="","",'TPD Calculator (Super)'!D$17)</f>
        <v/>
      </c>
      <c r="M39" s="5" t="str">
        <f t="shared" si="5"/>
        <v/>
      </c>
      <c r="N39" s="1" t="str">
        <f t="shared" si="3"/>
        <v/>
      </c>
    </row>
    <row r="40" spans="1:14" x14ac:dyDescent="0.25">
      <c r="A40" t="str">
        <f>IF(A39&gt;'TPD Calculator (Super)'!F$8-2,"",A39+1)</f>
        <v/>
      </c>
      <c r="B40" s="4" t="str">
        <f t="shared" si="0"/>
        <v/>
      </c>
      <c r="C40" s="3" t="str">
        <f>IF(A40="","",'TPD Calculator (Super)'!D$16)</f>
        <v/>
      </c>
      <c r="D40" s="3" t="str">
        <f>IF(A40="","",'TPD Calculator (Super)'!D$17)</f>
        <v/>
      </c>
      <c r="E40" s="5" t="str">
        <f t="shared" si="4"/>
        <v/>
      </c>
      <c r="F40" s="1" t="str">
        <f t="shared" si="1"/>
        <v/>
      </c>
      <c r="I40" t="str">
        <f>IF(I39&gt;'TPD Calculator (Super)'!F$12-2,"",IF(I39=64,"",I39+1))</f>
        <v/>
      </c>
      <c r="J40" s="4" t="str">
        <f t="shared" si="2"/>
        <v/>
      </c>
      <c r="K40" s="3" t="str">
        <f>IF(I40="","",'TPD Calculator (Super)'!D$16)</f>
        <v/>
      </c>
      <c r="L40" s="3" t="str">
        <f>IF(I40="","",'TPD Calculator (Super)'!D$17)</f>
        <v/>
      </c>
      <c r="M40" s="5" t="str">
        <f t="shared" si="5"/>
        <v/>
      </c>
      <c r="N40" s="1" t="str">
        <f t="shared" si="3"/>
        <v/>
      </c>
    </row>
    <row r="41" spans="1:14" x14ac:dyDescent="0.25">
      <c r="A41" t="str">
        <f>IF(A40&gt;'TPD Calculator (Super)'!F$8-2,"",A40+1)</f>
        <v/>
      </c>
      <c r="B41" s="4" t="str">
        <f t="shared" si="0"/>
        <v/>
      </c>
      <c r="C41" s="3" t="str">
        <f>IF(A41="","",'TPD Calculator (Super)'!D$16)</f>
        <v/>
      </c>
      <c r="D41" s="3" t="str">
        <f>IF(A41="","",'TPD Calculator (Super)'!D$17)</f>
        <v/>
      </c>
      <c r="E41" s="5" t="str">
        <f t="shared" si="4"/>
        <v/>
      </c>
      <c r="F41" s="1" t="str">
        <f t="shared" si="1"/>
        <v/>
      </c>
      <c r="I41" t="str">
        <f>IF(I40&gt;'TPD Calculator (Super)'!F$12-2,"",IF(I40=64,"",I40+1))</f>
        <v/>
      </c>
      <c r="J41" s="4" t="str">
        <f t="shared" si="2"/>
        <v/>
      </c>
      <c r="K41" s="3" t="str">
        <f>IF(I41="","",'TPD Calculator (Super)'!D$16)</f>
        <v/>
      </c>
      <c r="L41" s="3" t="str">
        <f>IF(I41="","",'TPD Calculator (Super)'!D$17)</f>
        <v/>
      </c>
      <c r="M41" s="5" t="str">
        <f t="shared" si="5"/>
        <v/>
      </c>
      <c r="N41" s="1" t="str">
        <f t="shared" si="3"/>
        <v/>
      </c>
    </row>
    <row r="42" spans="1:14" x14ac:dyDescent="0.25">
      <c r="A42" t="str">
        <f>IF(A41&gt;'TPD Calculator (Super)'!F$8-2,"",A41+1)</f>
        <v/>
      </c>
      <c r="B42" s="4" t="str">
        <f t="shared" si="0"/>
        <v/>
      </c>
      <c r="C42" s="3" t="str">
        <f>IF(A42="","",'TPD Calculator (Super)'!D$16)</f>
        <v/>
      </c>
      <c r="D42" s="3" t="str">
        <f>IF(A42="","",'TPD Calculator (Super)'!D$17)</f>
        <v/>
      </c>
      <c r="E42" s="5" t="str">
        <f t="shared" si="4"/>
        <v/>
      </c>
      <c r="F42" s="1" t="str">
        <f t="shared" si="1"/>
        <v/>
      </c>
      <c r="I42" t="str">
        <f>IF(I41&gt;'TPD Calculator (Super)'!F$12-2,"",IF(I41=64,"",I41+1))</f>
        <v/>
      </c>
      <c r="J42" s="4" t="str">
        <f t="shared" si="2"/>
        <v/>
      </c>
      <c r="K42" s="3" t="str">
        <f>IF(I42="","",'TPD Calculator (Super)'!D$16)</f>
        <v/>
      </c>
      <c r="L42" s="3" t="str">
        <f>IF(I42="","",'TPD Calculator (Super)'!D$17)</f>
        <v/>
      </c>
      <c r="M42" s="5" t="str">
        <f t="shared" si="5"/>
        <v/>
      </c>
      <c r="N42" s="1" t="str">
        <f t="shared" si="3"/>
        <v/>
      </c>
    </row>
    <row r="43" spans="1:14" x14ac:dyDescent="0.25">
      <c r="A43" t="str">
        <f>IF(A42&gt;'TPD Calculator (Super)'!F$8-2,"",A42+1)</f>
        <v/>
      </c>
      <c r="B43" s="4" t="str">
        <f t="shared" si="0"/>
        <v/>
      </c>
      <c r="C43" s="3" t="str">
        <f>IF(A43="","",'TPD Calculator (Super)'!D$16)</f>
        <v/>
      </c>
      <c r="D43" s="3" t="str">
        <f>IF(A43="","",'TPD Calculator (Super)'!D$17)</f>
        <v/>
      </c>
      <c r="E43" s="5" t="str">
        <f t="shared" si="4"/>
        <v/>
      </c>
      <c r="F43" s="1" t="str">
        <f t="shared" si="1"/>
        <v/>
      </c>
      <c r="I43" t="str">
        <f>IF(I42&gt;'TPD Calculator (Super)'!F$12-2,"",IF(I42=64,"",I42+1))</f>
        <v/>
      </c>
      <c r="J43" s="4" t="str">
        <f t="shared" si="2"/>
        <v/>
      </c>
      <c r="K43" s="3" t="str">
        <f>IF(I43="","",'TPD Calculator (Super)'!D$16)</f>
        <v/>
      </c>
      <c r="L43" s="3" t="str">
        <f>IF(I43="","",'TPD Calculator (Super)'!D$17)</f>
        <v/>
      </c>
      <c r="M43" s="5" t="str">
        <f t="shared" si="5"/>
        <v/>
      </c>
      <c r="N43" s="1" t="str">
        <f t="shared" si="3"/>
        <v/>
      </c>
    </row>
    <row r="44" spans="1:14" x14ac:dyDescent="0.25">
      <c r="A44" t="str">
        <f>IF(A43&gt;'TPD Calculator (Super)'!F$8-2,"",A43+1)</f>
        <v/>
      </c>
      <c r="B44" s="4" t="str">
        <f t="shared" si="0"/>
        <v/>
      </c>
      <c r="C44" s="3" t="str">
        <f>IF(A44="","",'TPD Calculator (Super)'!D$16)</f>
        <v/>
      </c>
      <c r="D44" s="3" t="str">
        <f>IF(A44="","",'TPD Calculator (Super)'!D$17)</f>
        <v/>
      </c>
      <c r="E44" s="5" t="str">
        <f t="shared" si="4"/>
        <v/>
      </c>
      <c r="F44" s="1" t="str">
        <f t="shared" si="1"/>
        <v/>
      </c>
      <c r="I44" t="str">
        <f>IF(I43&gt;'TPD Calculator (Super)'!F$12-2,"",IF(I43=64,"",I43+1))</f>
        <v/>
      </c>
      <c r="J44" s="4" t="str">
        <f t="shared" si="2"/>
        <v/>
      </c>
      <c r="K44" s="3" t="str">
        <f>IF(I44="","",'TPD Calculator (Super)'!D$16)</f>
        <v/>
      </c>
      <c r="L44" s="3" t="str">
        <f>IF(I44="","",'TPD Calculator (Super)'!D$17)</f>
        <v/>
      </c>
      <c r="M44" s="5" t="str">
        <f t="shared" si="5"/>
        <v/>
      </c>
      <c r="N44" s="1" t="str">
        <f t="shared" si="3"/>
        <v/>
      </c>
    </row>
    <row r="45" spans="1:14" x14ac:dyDescent="0.25">
      <c r="A45" t="str">
        <f>IF(A44&gt;'TPD Calculator (Super)'!F$8-2,"",A44+1)</f>
        <v/>
      </c>
      <c r="B45" s="4" t="str">
        <f t="shared" si="0"/>
        <v/>
      </c>
      <c r="C45" s="3" t="str">
        <f>IF(A45="","",'TPD Calculator (Super)'!D$16)</f>
        <v/>
      </c>
      <c r="D45" s="3" t="str">
        <f>IF(A45="","",'TPD Calculator (Super)'!D$17)</f>
        <v/>
      </c>
      <c r="E45" s="5" t="str">
        <f t="shared" si="4"/>
        <v/>
      </c>
      <c r="F45" s="1" t="str">
        <f t="shared" si="1"/>
        <v/>
      </c>
      <c r="I45" t="str">
        <f>IF(I44&gt;'TPD Calculator (Super)'!F$12-2,"",IF(I44=64,"",I44+1))</f>
        <v/>
      </c>
      <c r="J45" s="4" t="str">
        <f t="shared" si="2"/>
        <v/>
      </c>
      <c r="K45" s="3" t="str">
        <f>IF(I45="","",'TPD Calculator (Super)'!D$16)</f>
        <v/>
      </c>
      <c r="L45" s="3" t="str">
        <f>IF(I45="","",'TPD Calculator (Super)'!D$17)</f>
        <v/>
      </c>
      <c r="M45" s="5" t="str">
        <f t="shared" si="5"/>
        <v/>
      </c>
      <c r="N45" s="1" t="str">
        <f t="shared" si="3"/>
        <v/>
      </c>
    </row>
    <row r="46" spans="1:14" x14ac:dyDescent="0.25">
      <c r="A46" t="str">
        <f>IF(A45&gt;'TPD Calculator (Super)'!F$8-2,"",A45+1)</f>
        <v/>
      </c>
      <c r="B46" s="4" t="str">
        <f t="shared" si="0"/>
        <v/>
      </c>
      <c r="C46" s="3" t="str">
        <f>IF(A46="","",'TPD Calculator (Super)'!D$16)</f>
        <v/>
      </c>
      <c r="D46" s="3" t="str">
        <f>IF(A46="","",'TPD Calculator (Super)'!D$17)</f>
        <v/>
      </c>
      <c r="E46" s="5" t="str">
        <f t="shared" si="4"/>
        <v/>
      </c>
      <c r="F46" s="1" t="str">
        <f t="shared" si="1"/>
        <v/>
      </c>
      <c r="I46" t="str">
        <f>IF(I45&gt;'TPD Calculator (Super)'!F$12-2,"",IF(I45=64,"",I45+1))</f>
        <v/>
      </c>
      <c r="J46" s="4" t="str">
        <f t="shared" si="2"/>
        <v/>
      </c>
      <c r="K46" s="3" t="str">
        <f>IF(I46="","",'TPD Calculator (Super)'!D$16)</f>
        <v/>
      </c>
      <c r="L46" s="3" t="str">
        <f>IF(I46="","",'TPD Calculator (Super)'!D$17)</f>
        <v/>
      </c>
      <c r="M46" s="5" t="str">
        <f t="shared" si="5"/>
        <v/>
      </c>
      <c r="N46" s="1" t="str">
        <f t="shared" si="3"/>
        <v/>
      </c>
    </row>
    <row r="47" spans="1:14" x14ac:dyDescent="0.25">
      <c r="A47" t="str">
        <f>IF(A46&gt;'TPD Calculator (Super)'!F$8-2,"",A46+1)</f>
        <v/>
      </c>
      <c r="B47" s="4" t="str">
        <f t="shared" si="0"/>
        <v/>
      </c>
      <c r="C47" s="3" t="str">
        <f>IF(A47="","",'TPD Calculator (Super)'!D$16)</f>
        <v/>
      </c>
      <c r="D47" s="3" t="str">
        <f>IF(A47="","",'TPD Calculator (Super)'!D$17)</f>
        <v/>
      </c>
      <c r="E47" s="5" t="str">
        <f t="shared" si="4"/>
        <v/>
      </c>
      <c r="F47" s="1" t="str">
        <f t="shared" si="1"/>
        <v/>
      </c>
      <c r="I47" t="str">
        <f>IF(I46&gt;'TPD Calculator (Super)'!F$12-2,"",IF(I46=64,"",I46+1))</f>
        <v/>
      </c>
      <c r="J47" s="4" t="str">
        <f t="shared" si="2"/>
        <v/>
      </c>
      <c r="K47" s="3" t="str">
        <f>IF(I47="","",'TPD Calculator (Super)'!D$16)</f>
        <v/>
      </c>
      <c r="L47" s="3" t="str">
        <f>IF(I47="","",'TPD Calculator (Super)'!D$17)</f>
        <v/>
      </c>
      <c r="M47" s="5" t="str">
        <f t="shared" si="5"/>
        <v/>
      </c>
      <c r="N47" s="1" t="str">
        <f t="shared" si="3"/>
        <v/>
      </c>
    </row>
    <row r="48" spans="1:14" x14ac:dyDescent="0.25">
      <c r="A48" t="str">
        <f>IF(A47&gt;'TPD Calculator (Super)'!F$8-2,"",A47+1)</f>
        <v/>
      </c>
      <c r="B48" s="4" t="str">
        <f t="shared" si="0"/>
        <v/>
      </c>
      <c r="C48" s="3" t="str">
        <f>IF(A48="","",'TPD Calculator (Super)'!D$16)</f>
        <v/>
      </c>
      <c r="D48" s="3" t="str">
        <f>IF(A48="","",'TPD Calculator (Super)'!D$17)</f>
        <v/>
      </c>
      <c r="E48" s="5" t="str">
        <f t="shared" si="4"/>
        <v/>
      </c>
      <c r="F48" s="1" t="str">
        <f t="shared" si="1"/>
        <v/>
      </c>
      <c r="I48" t="str">
        <f>IF(I47&gt;'TPD Calculator (Super)'!F$12-2,"",IF(I47=64,"",I47+1))</f>
        <v/>
      </c>
      <c r="J48" s="4" t="str">
        <f t="shared" si="2"/>
        <v/>
      </c>
      <c r="K48" s="3" t="str">
        <f>IF(I48="","",'TPD Calculator (Super)'!D$16)</f>
        <v/>
      </c>
      <c r="L48" s="3" t="str">
        <f>IF(I48="","",'TPD Calculator (Super)'!D$17)</f>
        <v/>
      </c>
      <c r="M48" s="5" t="str">
        <f t="shared" si="5"/>
        <v/>
      </c>
      <c r="N48" s="1" t="str">
        <f t="shared" si="3"/>
        <v/>
      </c>
    </row>
    <row r="49" spans="1:14" x14ac:dyDescent="0.25">
      <c r="A49" t="str">
        <f>IF(A48&gt;'TPD Calculator (Super)'!F$8-2,"",A48+1)</f>
        <v/>
      </c>
      <c r="B49" s="4" t="str">
        <f t="shared" si="0"/>
        <v/>
      </c>
      <c r="C49" s="3" t="str">
        <f>IF(A49="","",'TPD Calculator (Super)'!D$16)</f>
        <v/>
      </c>
      <c r="D49" s="3" t="str">
        <f>IF(A49="","",'TPD Calculator (Super)'!D$17)</f>
        <v/>
      </c>
      <c r="E49" s="5" t="str">
        <f t="shared" si="4"/>
        <v/>
      </c>
      <c r="F49" s="1" t="str">
        <f t="shared" si="1"/>
        <v/>
      </c>
      <c r="I49" t="str">
        <f>IF(I48&gt;'TPD Calculator (Super)'!F$12-2,"",IF(I48=64,"",I48+1))</f>
        <v/>
      </c>
      <c r="J49" s="4" t="str">
        <f t="shared" si="2"/>
        <v/>
      </c>
      <c r="K49" s="3" t="str">
        <f>IF(I49="","",'TPD Calculator (Super)'!D$16)</f>
        <v/>
      </c>
      <c r="L49" s="3" t="str">
        <f>IF(I49="","",'TPD Calculator (Super)'!D$17)</f>
        <v/>
      </c>
      <c r="M49" s="5" t="str">
        <f t="shared" si="5"/>
        <v/>
      </c>
      <c r="N49" s="1" t="str">
        <f t="shared" si="3"/>
        <v/>
      </c>
    </row>
    <row r="50" spans="1:14" x14ac:dyDescent="0.25">
      <c r="A50" t="str">
        <f>IF(A49&gt;'TPD Calculator (Super)'!F$8-2,"",A49+1)</f>
        <v/>
      </c>
      <c r="B50" s="4" t="str">
        <f t="shared" si="0"/>
        <v/>
      </c>
      <c r="C50" s="3" t="str">
        <f>IF(A50="","",'TPD Calculator (Super)'!D$16)</f>
        <v/>
      </c>
      <c r="D50" s="3" t="str">
        <f>IF(A50="","",'TPD Calculator (Super)'!D$17)</f>
        <v/>
      </c>
      <c r="E50" s="5" t="str">
        <f t="shared" si="4"/>
        <v/>
      </c>
      <c r="F50" s="1" t="str">
        <f t="shared" si="1"/>
        <v/>
      </c>
      <c r="I50" t="str">
        <f>IF(I49&gt;'TPD Calculator (Super)'!F$12-2,"",IF(I49=64,"",I49+1))</f>
        <v/>
      </c>
      <c r="J50" s="4" t="str">
        <f t="shared" si="2"/>
        <v/>
      </c>
      <c r="K50" s="3" t="str">
        <f>IF(I50="","",'TPD Calculator (Super)'!D$16)</f>
        <v/>
      </c>
      <c r="L50" s="3" t="str">
        <f>IF(I50="","",'TPD Calculator (Super)'!D$17)</f>
        <v/>
      </c>
      <c r="M50" s="5" t="str">
        <f t="shared" si="5"/>
        <v/>
      </c>
      <c r="N50" s="1" t="str">
        <f t="shared" si="3"/>
        <v/>
      </c>
    </row>
    <row r="51" spans="1:14" x14ac:dyDescent="0.25">
      <c r="A51" t="str">
        <f>IF(A50&gt;'TPD Calculator (Super)'!F$8-2,"",A50+1)</f>
        <v/>
      </c>
      <c r="B51" s="4" t="str">
        <f t="shared" si="0"/>
        <v/>
      </c>
      <c r="C51" s="3" t="str">
        <f>IF(A51="","",'TPD Calculator (Super)'!D$16)</f>
        <v/>
      </c>
      <c r="D51" s="3" t="str">
        <f>IF(A51="","",'TPD Calculator (Super)'!D$17)</f>
        <v/>
      </c>
      <c r="E51" s="5" t="str">
        <f t="shared" si="4"/>
        <v/>
      </c>
      <c r="F51" s="1" t="str">
        <f t="shared" si="1"/>
        <v/>
      </c>
      <c r="I51" t="str">
        <f>IF(I50&gt;'TPD Calculator (Super)'!F$12-2,"",IF(I50=64,"",I50+1))</f>
        <v/>
      </c>
      <c r="J51" s="4" t="str">
        <f t="shared" si="2"/>
        <v/>
      </c>
      <c r="K51" s="3" t="str">
        <f>IF(I51="","",'TPD Calculator (Super)'!D$16)</f>
        <v/>
      </c>
      <c r="L51" s="3" t="str">
        <f>IF(I51="","",'TPD Calculator (Super)'!D$17)</f>
        <v/>
      </c>
      <c r="M51" s="5" t="str">
        <f t="shared" si="5"/>
        <v/>
      </c>
      <c r="N51" s="1" t="str">
        <f t="shared" si="3"/>
        <v/>
      </c>
    </row>
    <row r="52" spans="1:14" x14ac:dyDescent="0.25">
      <c r="A52" t="str">
        <f>IF(A51&gt;'TPD Calculator (Super)'!F$8-2,"",A51+1)</f>
        <v/>
      </c>
      <c r="B52" s="4" t="str">
        <f t="shared" si="0"/>
        <v/>
      </c>
      <c r="C52" s="3" t="str">
        <f>IF(A52="","",'TPD Calculator (Super)'!D$16)</f>
        <v/>
      </c>
      <c r="D52" s="3" t="str">
        <f>IF(A52="","",'TPD Calculator (Super)'!D$17)</f>
        <v/>
      </c>
      <c r="E52" s="5" t="str">
        <f t="shared" si="4"/>
        <v/>
      </c>
      <c r="F52" s="1" t="str">
        <f t="shared" si="1"/>
        <v/>
      </c>
      <c r="I52" t="str">
        <f>IF(I51&gt;'TPD Calculator (Super)'!F$12-2,"",IF(I51=64,"",I51+1))</f>
        <v/>
      </c>
      <c r="J52" s="4" t="str">
        <f t="shared" si="2"/>
        <v/>
      </c>
      <c r="K52" s="3" t="str">
        <f>IF(I52="","",'TPD Calculator (Super)'!D$16)</f>
        <v/>
      </c>
      <c r="L52" s="3" t="str">
        <f>IF(I52="","",'TPD Calculator (Super)'!D$17)</f>
        <v/>
      </c>
      <c r="M52" s="5" t="str">
        <f t="shared" si="5"/>
        <v/>
      </c>
      <c r="N52" s="1" t="str">
        <f t="shared" si="3"/>
        <v/>
      </c>
    </row>
    <row r="53" spans="1:14" x14ac:dyDescent="0.25">
      <c r="A53" t="str">
        <f>IF(A52&gt;'TPD Calculator (Super)'!F$8-2,"",A52+1)</f>
        <v/>
      </c>
      <c r="B53" s="4" t="str">
        <f t="shared" si="0"/>
        <v/>
      </c>
      <c r="C53" s="3" t="str">
        <f>IF(A53="","",'TPD Calculator (Super)'!D$16)</f>
        <v/>
      </c>
      <c r="D53" s="3" t="str">
        <f>IF(A53="","",'TPD Calculator (Super)'!D$17)</f>
        <v/>
      </c>
      <c r="E53" s="5" t="str">
        <f t="shared" si="4"/>
        <v/>
      </c>
      <c r="F53" s="1" t="str">
        <f t="shared" si="1"/>
        <v/>
      </c>
      <c r="I53" t="str">
        <f>IF(I52&gt;'TPD Calculator (Super)'!F$12-2,"",IF(I52=64,"",I52+1))</f>
        <v/>
      </c>
      <c r="J53" s="4" t="str">
        <f t="shared" si="2"/>
        <v/>
      </c>
      <c r="K53" s="3" t="str">
        <f>IF(I53="","",'TPD Calculator (Super)'!D$16)</f>
        <v/>
      </c>
      <c r="L53" s="3" t="str">
        <f>IF(I53="","",'TPD Calculator (Super)'!D$17)</f>
        <v/>
      </c>
      <c r="M53" s="5" t="str">
        <f t="shared" si="5"/>
        <v/>
      </c>
      <c r="N53" s="1" t="str">
        <f t="shared" si="3"/>
        <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TPD Calculator</vt:lpstr>
      <vt:lpstr>TPD Calculator (Super)</vt:lpstr>
      <vt:lpstr>Data</vt:lpstr>
      <vt:lpstr>Data (Super)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ModifiedBy>
  </cp:lastModifiedBy>
  <cp:revision>
  </cp:revision>
  <cp:lastPrinted>2024-09-19T22:26:49Z</cp:lastPrinted>
  <dcterms:created xsi:type="dcterms:W3CDTF">2024-08-12T04:53:25Z</dcterms:created>
  <dcterms:modified xsi:type="dcterms:W3CDTF">2024-09-19T22:30:48Z</dcterms:modified>
  <cp:category>
  </cp:category>
  <cp:contentStatus>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37e400-a07c-4077-92e8-ea6f7a01e9ad_Enabled">
    <vt:lpwstr>true</vt:lpwstr>
  </property>
  <property fmtid="{D5CDD505-2E9C-101B-9397-08002B2CF9AE}" pid="3" name="MSIP_Label_0837e400-a07c-4077-92e8-ea6f7a01e9ad_SetDate">
    <vt:lpwstr>2024-08-12T04:53:45Z</vt:lpwstr>
  </property>
  <property fmtid="{D5CDD505-2E9C-101B-9397-08002B2CF9AE}" pid="4" name="MSIP_Label_0837e400-a07c-4077-92e8-ea6f7a01e9ad_Method">
    <vt:lpwstr>Privileged</vt:lpwstr>
  </property>
  <property fmtid="{D5CDD505-2E9C-101B-9397-08002B2CF9AE}" pid="5" name="MSIP_Label_0837e400-a07c-4077-92e8-ea6f7a01e9ad_Name">
    <vt:lpwstr>0837e400-a07c-4077-92e8-ea6f7a01e9ad</vt:lpwstr>
  </property>
  <property fmtid="{D5CDD505-2E9C-101B-9397-08002B2CF9AE}" pid="6" name="MSIP_Label_0837e400-a07c-4077-92e8-ea6f7a01e9ad_SiteId">
    <vt:lpwstr>95d1d810-50cf-4169-8565-6bfba279a0cd</vt:lpwstr>
  </property>
  <property fmtid="{D5CDD505-2E9C-101B-9397-08002B2CF9AE}" pid="7" name="MSIP_Label_0837e400-a07c-4077-92e8-ea6f7a01e9ad_ActionId">
    <vt:lpwstr>d0529939-ca35-4e17-9595-08312f158aef</vt:lpwstr>
  </property>
  <property fmtid="{D5CDD505-2E9C-101B-9397-08002B2CF9AE}" pid="8" name="MSIP_Label_0837e400-a07c-4077-92e8-ea6f7a01e9ad_ContentBits">
    <vt:lpwstr>0</vt:lpwstr>
  </property>
</Properties>
</file>